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- PCs - Portal da Transparëncia\F0335 - OK\"/>
    </mc:Choice>
  </mc:AlternateContent>
  <bookViews>
    <workbookView xWindow="0" yWindow="0" windowWidth="28800" windowHeight="13875" tabRatio="928"/>
  </bookViews>
  <sheets>
    <sheet name="Resumo" sheetId="1" r:id="rId1"/>
    <sheet name="Resumo (2)" sheetId="22" state="hidden" r:id="rId2"/>
    <sheet name="Orçamento" sheetId="14" r:id="rId3"/>
    <sheet name="TB" sheetId="2" r:id="rId4"/>
    <sheet name="Aplicação" sheetId="3" r:id="rId5"/>
    <sheet name="01" sheetId="4" r:id="rId6"/>
    <sheet name="02" sheetId="5" r:id="rId7"/>
    <sheet name="Viagens" sheetId="15" state="hidden" r:id="rId8"/>
    <sheet name="03" sheetId="16" r:id="rId9"/>
    <sheet name="04" sheetId="8" r:id="rId10"/>
    <sheet name="05" sheetId="23" r:id="rId11"/>
    <sheet name="06" sheetId="24" r:id="rId12"/>
    <sheet name="CLT - custo" sheetId="13" state="hidden" r:id="rId13"/>
  </sheets>
  <definedNames>
    <definedName name="_xlnm.Print_Area" localSheetId="1">'Resumo (2)'!$B$2:$G$55</definedName>
    <definedName name="conta_corrente" localSheetId="1">'Resumo (2)'!$D$10</definedName>
    <definedName name="contrato" localSheetId="1">'Resumo (2)'!#REF!</definedName>
    <definedName name="coordenador" localSheetId="1">'Resumo (2)'!$D$9</definedName>
    <definedName name="financiador" localSheetId="1">'Resumo (2)'!$D$8</definedName>
    <definedName name="interveniente" localSheetId="1">'Resumo (2)'!$D$4</definedName>
    <definedName name="periodo_fim" localSheetId="1">'Resumo (2)'!#REF!</definedName>
    <definedName name="periodo_inicio" localSheetId="1">'Resumo (2)'!#REF!</definedName>
    <definedName name="tipo_contrato" localSheetId="1">'Resumo (2)'!#REF!</definedName>
    <definedName name="titulo" localSheetId="1">'Resumo (2)'!$D$5</definedName>
    <definedName name="total01">'01'!$I$8</definedName>
    <definedName name="total02">'02'!$I$8</definedName>
    <definedName name="total03" localSheetId="10">'03'!#REF!</definedName>
    <definedName name="total03" localSheetId="11">'03'!#REF!</definedName>
    <definedName name="total03">'03'!#REF!</definedName>
    <definedName name="total04" localSheetId="10">'05'!$I$8</definedName>
    <definedName name="total04" localSheetId="11">'06'!$G$8</definedName>
    <definedName name="total04">'04'!$G$8</definedName>
    <definedName name="total05" localSheetId="10">#REF!</definedName>
    <definedName name="total05" localSheetId="11">#REF!</definedName>
    <definedName name="total05">#REF!</definedName>
    <definedName name="total06" localSheetId="10">#REF!</definedName>
    <definedName name="total06" localSheetId="11">#REF!</definedName>
    <definedName name="total06">#REF!</definedName>
    <definedName name="total07" localSheetId="10">#REF!</definedName>
    <definedName name="total07" localSheetId="11">#REF!</definedName>
    <definedName name="total07">#REF!</definedName>
    <definedName name="total08" localSheetId="10">#REF!</definedName>
    <definedName name="total08" localSheetId="11">#REF!</definedName>
    <definedName name="total08">#REF!</definedName>
    <definedName name="total09" localSheetId="10">#REF!</definedName>
    <definedName name="total09" localSheetId="11">#REF!</definedName>
    <definedName name="total09">#REF!</definedName>
    <definedName name="total10" localSheetId="10">#REF!</definedName>
    <definedName name="total10" localSheetId="11">#REF!</definedName>
    <definedName name="total10">#REF!</definedName>
    <definedName name="totalCredito" localSheetId="10">#REF!</definedName>
    <definedName name="totalCredito" localSheetId="11">#REF!</definedName>
    <definedName name="totalCredito">#REF!</definedName>
    <definedName name="totalDespesas">Resumo!$K$28</definedName>
    <definedName name="totalRecebimentos">Resumo!$K$24</definedName>
    <definedName name="totalRendimentoLiquido">Aplicação!$I$8</definedName>
    <definedName name="totalTarifasBancarias">TB!$E$9</definedName>
    <definedName name="totalUtilizado" localSheetId="10">resumo[[#Totals],[Utilizado]]</definedName>
    <definedName name="totalUtilizado" localSheetId="11">resumo[[#Totals],[Utilizado]]</definedName>
    <definedName name="totalUtilizado">resumo[[#Totals],[Utilizado]]</definedName>
    <definedName name="vigencia_final" localSheetId="1">'Resumo (2)'!$E$6</definedName>
    <definedName name="vigencia_inicial" localSheetId="1">'Resumo (2)'!$D$6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4" l="1"/>
  <c r="J40" i="14" s="1"/>
  <c r="I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J35" i="14" s="1"/>
  <c r="I36" i="14"/>
  <c r="I37" i="14"/>
  <c r="I38" i="14"/>
  <c r="I39" i="14"/>
  <c r="J39" i="14" s="1"/>
  <c r="J19" i="14"/>
  <c r="J23" i="14"/>
  <c r="H16" i="14"/>
  <c r="J16" i="14" s="1"/>
  <c r="H17" i="14"/>
  <c r="H18" i="14"/>
  <c r="H19" i="14"/>
  <c r="H20" i="14"/>
  <c r="J20" i="14" s="1"/>
  <c r="H21" i="14"/>
  <c r="H22" i="14"/>
  <c r="H23" i="14"/>
  <c r="H24" i="14"/>
  <c r="H25" i="14"/>
  <c r="H26" i="14"/>
  <c r="H27" i="14"/>
  <c r="H28" i="14"/>
  <c r="J28" i="14" s="1"/>
  <c r="H29" i="14"/>
  <c r="H30" i="14"/>
  <c r="H31" i="14"/>
  <c r="H32" i="14"/>
  <c r="J32" i="14" s="1"/>
  <c r="H33" i="14"/>
  <c r="H34" i="14"/>
  <c r="H35" i="14"/>
  <c r="H36" i="14"/>
  <c r="J36" i="14" s="1"/>
  <c r="H37" i="14"/>
  <c r="H38" i="14"/>
  <c r="H39" i="14"/>
  <c r="H40" i="14"/>
  <c r="J17" i="14"/>
  <c r="J21" i="14"/>
  <c r="J24" i="14"/>
  <c r="J25" i="14"/>
  <c r="J29" i="14"/>
  <c r="J33" i="14"/>
  <c r="J37" i="14"/>
  <c r="J34" i="14" l="1"/>
  <c r="J26" i="14"/>
  <c r="J22" i="14"/>
  <c r="J18" i="14"/>
  <c r="J38" i="14"/>
  <c r="J30" i="14"/>
  <c r="J31" i="14"/>
  <c r="J27" i="14"/>
  <c r="F8" i="3"/>
  <c r="G8" i="3"/>
  <c r="H8" i="3"/>
  <c r="E8" i="3"/>
  <c r="J12" i="14" l="1"/>
  <c r="J15" i="14"/>
  <c r="H10" i="14"/>
  <c r="H11" i="14"/>
  <c r="H12" i="14"/>
  <c r="H13" i="14"/>
  <c r="H14" i="14"/>
  <c r="H15" i="14"/>
  <c r="J14" i="14" l="1"/>
  <c r="J13" i="14"/>
  <c r="J10" i="14"/>
  <c r="J11" i="14"/>
  <c r="B7" i="24"/>
  <c r="B7" i="23"/>
  <c r="I8" i="16"/>
  <c r="B10" i="24"/>
  <c r="G8" i="24"/>
  <c r="H18" i="1" s="1"/>
  <c r="K18" i="1" s="1"/>
  <c r="F4" i="24"/>
  <c r="D4" i="24"/>
  <c r="F3" i="24"/>
  <c r="D3" i="24"/>
  <c r="F2" i="24"/>
  <c r="D2" i="24"/>
  <c r="B10" i="23"/>
  <c r="I8" i="23"/>
  <c r="H17" i="1" s="1"/>
  <c r="K17" i="1" s="1"/>
  <c r="H4" i="23"/>
  <c r="D4" i="23"/>
  <c r="H3" i="23"/>
  <c r="D3" i="23"/>
  <c r="H2" i="23"/>
  <c r="D2" i="23"/>
  <c r="F18" i="1"/>
  <c r="G18" i="1"/>
  <c r="F17" i="1"/>
  <c r="G17" i="1"/>
  <c r="I18" i="1" l="1"/>
  <c r="I17" i="1"/>
  <c r="F4" i="8" l="1"/>
  <c r="D4" i="8"/>
  <c r="F3" i="8"/>
  <c r="D3" i="8"/>
  <c r="F2" i="8"/>
  <c r="D2" i="8"/>
  <c r="H4" i="16"/>
  <c r="F4" i="16"/>
  <c r="D4" i="16"/>
  <c r="H3" i="16"/>
  <c r="F3" i="16"/>
  <c r="D3" i="16"/>
  <c r="H2" i="16"/>
  <c r="F2" i="16"/>
  <c r="D2" i="16"/>
  <c r="H4" i="5"/>
  <c r="F4" i="5"/>
  <c r="D4" i="5"/>
  <c r="H3" i="5"/>
  <c r="F3" i="5"/>
  <c r="D3" i="5"/>
  <c r="H2" i="5"/>
  <c r="F2" i="5"/>
  <c r="D2" i="5"/>
  <c r="H4" i="4"/>
  <c r="F4" i="4"/>
  <c r="D4" i="4"/>
  <c r="H3" i="4"/>
  <c r="F3" i="4"/>
  <c r="D3" i="4"/>
  <c r="H2" i="4"/>
  <c r="F2" i="4"/>
  <c r="D2" i="4"/>
  <c r="H4" i="3"/>
  <c r="F4" i="3"/>
  <c r="D4" i="3"/>
  <c r="H3" i="3"/>
  <c r="F3" i="3"/>
  <c r="D3" i="3"/>
  <c r="H2" i="3"/>
  <c r="F2" i="3"/>
  <c r="D2" i="3"/>
  <c r="D5" i="2"/>
  <c r="D4" i="2"/>
  <c r="D3" i="2"/>
  <c r="J19" i="1" l="1"/>
  <c r="H15" i="1" l="1"/>
  <c r="K15" i="1" s="1"/>
  <c r="I10" i="3"/>
  <c r="I8" i="3" s="1"/>
  <c r="H4" i="14" l="1"/>
  <c r="J4" i="14" s="1"/>
  <c r="H5" i="14"/>
  <c r="H6" i="14"/>
  <c r="J6" i="14" s="1"/>
  <c r="H7" i="14"/>
  <c r="J7" i="14" s="1"/>
  <c r="H8" i="14"/>
  <c r="J8" i="14" s="1"/>
  <c r="H9" i="14"/>
  <c r="J9" i="14" s="1"/>
  <c r="J5" i="14" l="1"/>
  <c r="B7" i="8"/>
  <c r="B7" i="16"/>
  <c r="B7" i="5"/>
  <c r="B7" i="4"/>
  <c r="G13" i="1" l="1"/>
  <c r="B10" i="8"/>
  <c r="B10" i="16"/>
  <c r="B10" i="4"/>
  <c r="B10" i="5"/>
  <c r="F14" i="22" l="1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13" i="22"/>
  <c r="L11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13" i="22"/>
  <c r="E29" i="22"/>
  <c r="F35" i="13" l="1"/>
  <c r="F38" i="13"/>
  <c r="F37" i="13"/>
  <c r="F36" i="13"/>
  <c r="F34" i="13"/>
  <c r="F27" i="13"/>
  <c r="F17" i="13"/>
  <c r="F18" i="13" s="1"/>
  <c r="F7" i="13"/>
  <c r="F31" i="13" l="1"/>
  <c r="F32" i="13" s="1"/>
  <c r="F39" i="13"/>
  <c r="F40" i="13" s="1"/>
  <c r="D39" i="13" l="1"/>
  <c r="D40" i="13" s="1"/>
  <c r="D38" i="13"/>
  <c r="D37" i="13"/>
  <c r="D36" i="13"/>
  <c r="D35" i="13"/>
  <c r="D34" i="13"/>
  <c r="E34" i="13"/>
  <c r="E35" i="13"/>
  <c r="E36" i="13"/>
  <c r="E37" i="13"/>
  <c r="E38" i="13"/>
  <c r="E39" i="13"/>
  <c r="E40" i="13" s="1"/>
  <c r="C34" i="13"/>
  <c r="C39" i="13"/>
  <c r="C40" i="13" s="1"/>
  <c r="C38" i="13"/>
  <c r="C37" i="13"/>
  <c r="C36" i="13"/>
  <c r="C35" i="13"/>
  <c r="J28" i="22" l="1"/>
  <c r="J27" i="22"/>
  <c r="J26" i="22"/>
  <c r="J25" i="22"/>
  <c r="J24" i="22"/>
  <c r="J23" i="22"/>
  <c r="J22" i="22"/>
  <c r="I22" i="22"/>
  <c r="J21" i="22"/>
  <c r="I21" i="22"/>
  <c r="J20" i="22"/>
  <c r="J19" i="22"/>
  <c r="J18" i="22"/>
  <c r="I18" i="22"/>
  <c r="J17" i="22"/>
  <c r="I17" i="22"/>
  <c r="J16" i="22"/>
  <c r="J15" i="22"/>
  <c r="J14" i="22"/>
  <c r="J13" i="22"/>
  <c r="G22" i="22" l="1"/>
  <c r="G17" i="22"/>
  <c r="G18" i="22"/>
  <c r="G21" i="22"/>
  <c r="F29" i="22"/>
  <c r="J9" i="15" l="1"/>
  <c r="D5" i="15"/>
  <c r="D4" i="15"/>
  <c r="D3" i="15"/>
  <c r="D2" i="15"/>
  <c r="H3" i="14"/>
  <c r="H41" i="14" s="1"/>
  <c r="I23" i="22"/>
  <c r="G23" i="22" s="1"/>
  <c r="I25" i="22"/>
  <c r="G25" i="22" s="1"/>
  <c r="I26" i="22"/>
  <c r="G26" i="22" s="1"/>
  <c r="I24" i="22" l="1"/>
  <c r="G24" i="22" s="1"/>
  <c r="I27" i="22"/>
  <c r="G27" i="22" s="1"/>
  <c r="I15" i="22"/>
  <c r="G15" i="22" s="1"/>
  <c r="I14" i="22"/>
  <c r="G14" i="22" s="1"/>
  <c r="I20" i="22"/>
  <c r="G20" i="22" s="1"/>
  <c r="I28" i="22"/>
  <c r="G28" i="22" s="1"/>
  <c r="I16" i="22"/>
  <c r="G16" i="22" s="1"/>
  <c r="I19" i="22"/>
  <c r="G19" i="22" s="1"/>
  <c r="F16" i="1"/>
  <c r="I13" i="22"/>
  <c r="G13" i="22" s="1"/>
  <c r="F13" i="1"/>
  <c r="I41" i="14"/>
  <c r="J3" i="14"/>
  <c r="I15" i="1" l="1"/>
  <c r="G15" i="1"/>
  <c r="F15" i="1"/>
  <c r="G16" i="1"/>
  <c r="G29" i="22"/>
  <c r="J41" i="14"/>
  <c r="C14" i="13"/>
  <c r="D32" i="13"/>
  <c r="E32" i="13"/>
  <c r="E7" i="13"/>
  <c r="D31" i="13"/>
  <c r="E27" i="13"/>
  <c r="E17" i="13"/>
  <c r="E18" i="13" s="1"/>
  <c r="D17" i="13"/>
  <c r="C17" i="13"/>
  <c r="D27" i="13"/>
  <c r="C27" i="13"/>
  <c r="D7" i="13"/>
  <c r="C7" i="13"/>
  <c r="E31" i="13" l="1"/>
  <c r="C18" i="13"/>
  <c r="C31" i="13" s="1"/>
  <c r="D18" i="13"/>
  <c r="C32" i="13" l="1"/>
  <c r="G8" i="8" l="1"/>
  <c r="H16" i="1" s="1"/>
  <c r="K16" i="1" s="1"/>
  <c r="I16" i="1" l="1"/>
  <c r="D2" i="2"/>
  <c r="I8" i="5"/>
  <c r="H14" i="1" s="1"/>
  <c r="I8" i="4"/>
  <c r="H13" i="1" s="1"/>
  <c r="K13" i="1" s="1"/>
  <c r="I14" i="1" l="1"/>
  <c r="K14" i="1"/>
  <c r="I13" i="1"/>
  <c r="F14" i="1"/>
  <c r="G14" i="1"/>
  <c r="G19" i="1" s="1"/>
  <c r="K23" i="1"/>
  <c r="E9" i="2"/>
  <c r="K27" i="1" s="1"/>
  <c r="H19" i="1"/>
  <c r="E19" i="1"/>
  <c r="K22" i="1" s="1"/>
  <c r="D19" i="1"/>
  <c r="K24" i="1" l="1"/>
  <c r="K26" i="1"/>
  <c r="K28" i="1" s="1"/>
  <c r="I19" i="1"/>
  <c r="F19" i="1"/>
  <c r="K29" i="1" l="1"/>
  <c r="K19" i="1"/>
</calcChain>
</file>

<file path=xl/sharedStrings.xml><?xml version="1.0" encoding="utf-8"?>
<sst xmlns="http://schemas.openxmlformats.org/spreadsheetml/2006/main" count="318" uniqueCount="174">
  <si>
    <t>DEMONSTRATIVO GERAL DE RECEITAS E DESPESAS</t>
  </si>
  <si>
    <t>Balancete Geral</t>
  </si>
  <si>
    <t>Convenente</t>
  </si>
  <si>
    <t>FUNDAÇÃO DE APOIO A SERV TEC, ENS E FOMENTO A PESQUISAS - FUNDAÇÃO ASTEF</t>
  </si>
  <si>
    <t>Título</t>
  </si>
  <si>
    <t>Vigência</t>
  </si>
  <si>
    <t>Período do Balancete</t>
  </si>
  <si>
    <t>Financiador</t>
  </si>
  <si>
    <t>DELL COMPUTADORES DO BRASIL LTDA</t>
  </si>
  <si>
    <t>Coordenador</t>
  </si>
  <si>
    <t>ROSSANA MARIA DE CASTRO ANDRADE</t>
  </si>
  <si>
    <t>Conta Corrente</t>
  </si>
  <si>
    <t>Resumo do Orçamento</t>
  </si>
  <si>
    <t xml:space="preserve">N° </t>
  </si>
  <si>
    <t>Rubrica</t>
  </si>
  <si>
    <t>Programado</t>
  </si>
  <si>
    <t>Recebimento</t>
  </si>
  <si>
    <t>% Recebido</t>
  </si>
  <si>
    <t>Saldo do Programado</t>
  </si>
  <si>
    <t>Utilizado</t>
  </si>
  <si>
    <t>% Utilizado</t>
  </si>
  <si>
    <t>Saldo do Recebimento</t>
  </si>
  <si>
    <t>VIAGENS</t>
  </si>
  <si>
    <t xml:space="preserve">Conciliação </t>
  </si>
  <si>
    <t>A. Recebimentos</t>
  </si>
  <si>
    <t>A.1. Recebimentos</t>
  </si>
  <si>
    <t>A.2. Rendimento Líquido de Aplicação Bancária</t>
  </si>
  <si>
    <t>A. Total</t>
  </si>
  <si>
    <t>B. Despesas</t>
  </si>
  <si>
    <t xml:space="preserve">B.1. Despesas </t>
  </si>
  <si>
    <t>B.2. Tarifas Bancárias</t>
  </si>
  <si>
    <t>B. Total</t>
  </si>
  <si>
    <t>BANCO SANTANDER | 3508 | 13.002847-1</t>
  </si>
  <si>
    <t>Total</t>
  </si>
  <si>
    <t>Contrato</t>
  </si>
  <si>
    <t>DEMONSTRATIVO DE DESPESAS</t>
  </si>
  <si>
    <t>TARIFAS BANCÁRIAS</t>
  </si>
  <si>
    <t>TOTAL</t>
  </si>
  <si>
    <t>#</t>
  </si>
  <si>
    <t>DATA</t>
  </si>
  <si>
    <t>DESCRIÇÃO</t>
  </si>
  <si>
    <t>VALOR</t>
  </si>
  <si>
    <t/>
  </si>
  <si>
    <t>MATERIAL DE CONSUMO</t>
  </si>
  <si>
    <t>SALDO</t>
  </si>
  <si>
    <t>APLICAÇÃO</t>
  </si>
  <si>
    <t>RESGATE</t>
  </si>
  <si>
    <t>RENDIMENTO</t>
  </si>
  <si>
    <t>ENCARGOS</t>
  </si>
  <si>
    <t>REND. LÍQUIDO</t>
  </si>
  <si>
    <t>CHEQUE</t>
  </si>
  <si>
    <t>TIPO</t>
  </si>
  <si>
    <t>COMPETÊNCIA</t>
  </si>
  <si>
    <t>CPF</t>
  </si>
  <si>
    <t>CRISTIANE MONTEIRO DE ARAÚJO</t>
  </si>
  <si>
    <t>PAULO VICTOR SANTIAGO DE SOUSA</t>
  </si>
  <si>
    <t>CNPJ</t>
  </si>
  <si>
    <t>F0281/FASTEF INTERLOCKS AUDIT TOOL (PO275620)</t>
  </si>
  <si>
    <t>DOCUMENTO</t>
  </si>
  <si>
    <t>EMISSÃO</t>
  </si>
  <si>
    <t>Salário Base</t>
  </si>
  <si>
    <t>Total de Proventos</t>
  </si>
  <si>
    <t>INSS 25,5%</t>
  </si>
  <si>
    <t xml:space="preserve">FGTS 8% </t>
  </si>
  <si>
    <t>PIS 1%</t>
  </si>
  <si>
    <t>Multa rescisória</t>
  </si>
  <si>
    <t>Vale Transporte</t>
  </si>
  <si>
    <t>Vale Alimentação</t>
  </si>
  <si>
    <t>Outros Benefícios</t>
  </si>
  <si>
    <t>Segurança do trabalho</t>
  </si>
  <si>
    <t>Reserva Trabalhista</t>
  </si>
  <si>
    <t>Total Encargos</t>
  </si>
  <si>
    <t>Custo mensal projeto</t>
  </si>
  <si>
    <t>Provisões</t>
  </si>
  <si>
    <t>Provisão Férias</t>
  </si>
  <si>
    <t>Provisão 13º</t>
  </si>
  <si>
    <t>FGTS 8%</t>
  </si>
  <si>
    <t>Multa Rescisória previsões</t>
  </si>
  <si>
    <t>TOTAL de Provisões</t>
  </si>
  <si>
    <t>Quantidade de meses</t>
  </si>
  <si>
    <t>Aviso Prévio</t>
  </si>
  <si>
    <t>Descrição</t>
  </si>
  <si>
    <t>Custo do Projeto</t>
  </si>
  <si>
    <t>Custo do Projeto por Mês</t>
  </si>
  <si>
    <t>THYAGO BEZERRALIMA</t>
  </si>
  <si>
    <t>CUSTO RH - CLT</t>
  </si>
  <si>
    <t>N°</t>
  </si>
  <si>
    <t>Item</t>
  </si>
  <si>
    <t>Quant.</t>
  </si>
  <si>
    <t>Valor Unitário</t>
  </si>
  <si>
    <t>Valor Programado</t>
  </si>
  <si>
    <t>Saldo</t>
  </si>
  <si>
    <t>orçamento</t>
  </si>
  <si>
    <t>credito</t>
  </si>
  <si>
    <t>Período do Demonstrativo</t>
  </si>
  <si>
    <t>Interveniente</t>
  </si>
  <si>
    <t>DAVI BARROS ARAGAO</t>
  </si>
  <si>
    <t>Eveline Oliveira Viana</t>
  </si>
  <si>
    <t>Gerente Financeira</t>
  </si>
  <si>
    <t>Saldo do 
Programado</t>
  </si>
  <si>
    <t>3.2 RH Diretos</t>
  </si>
  <si>
    <t>3.3 RH Indiretos</t>
  </si>
  <si>
    <t>3.5 Treinamento</t>
  </si>
  <si>
    <t>3.6 Servicos Técnicos</t>
  </si>
  <si>
    <t>3.7 Serviços outros</t>
  </si>
  <si>
    <t>3.16 Outros Correlatos Infra.</t>
  </si>
  <si>
    <t>3.4 ViaGens</t>
  </si>
  <si>
    <t>3.8 Equip. Bens de Informática</t>
  </si>
  <si>
    <t>3.9 Equip. Outros</t>
  </si>
  <si>
    <t>3.10 Software</t>
  </si>
  <si>
    <t>3.11 Mat. Cons. Protótipo</t>
  </si>
  <si>
    <t>3.13 Livros/Periódicos Técnicos</t>
  </si>
  <si>
    <t>3.14 Obra Civil / Construção</t>
  </si>
  <si>
    <t>3.17 Custo incorrido pela Instituição</t>
  </si>
  <si>
    <t>3.12 Material de  Consumo</t>
  </si>
  <si>
    <t>3.15 Outros Correlatos</t>
  </si>
  <si>
    <t>SAP</t>
  </si>
  <si>
    <t>Tipo</t>
  </si>
  <si>
    <t>TERMO DE COOPERAÇÃO</t>
  </si>
  <si>
    <t>ÍTEM</t>
  </si>
  <si>
    <t>CH</t>
  </si>
  <si>
    <t>FAVORECIDO</t>
  </si>
  <si>
    <t>NF</t>
  </si>
  <si>
    <t>CPF/CNPJ</t>
  </si>
  <si>
    <t>Utilização de Rendimentos</t>
  </si>
  <si>
    <t>C. Saldo do Projeto/Devolvido ao Financiador (A-B)</t>
  </si>
  <si>
    <t>BOLSAS</t>
  </si>
  <si>
    <t>SANTANDER - 3508 - 13.002882-4</t>
  </si>
  <si>
    <t>UNIVERSIDADE FEDERAL DO CARIRI - UFCA</t>
  </si>
  <si>
    <t>ESTUDO APLICADO PARA FINS DE REVISÃO DO PLANO DIRETOR MUNICIPAL DE JUAZEIRO DO NORTE (PDM-JN)</t>
  </si>
  <si>
    <t>001/2021</t>
  </si>
  <si>
    <t>ESTÁGIO</t>
  </si>
  <si>
    <t>P. JURIDICA</t>
  </si>
  <si>
    <t>MATERIAL PERMANENTE</t>
  </si>
  <si>
    <t>DESPESAS ADMINISTRATIVAS</t>
  </si>
  <si>
    <t>APOIO ADMINISTRATIVO</t>
  </si>
  <si>
    <t>ASPECTOS JURÍDICOS</t>
  </si>
  <si>
    <t>COORDENAÇÃO ADMINISTRATIVA</t>
  </si>
  <si>
    <t>COORDENAÇÃO DE ANÁLISES SOCIAIS</t>
  </si>
  <si>
    <t>COORDENAÇÃO EXECUTIVA</t>
  </si>
  <si>
    <t>COORDENAÇÃO TÉCNICA</t>
  </si>
  <si>
    <t>DESENVOLVIMENTO SUSTENTÁVEL</t>
  </si>
  <si>
    <t>ESTUDO DE SOLOS</t>
  </si>
  <si>
    <t>ESTUDOS SOCIOECONÔMICOS</t>
  </si>
  <si>
    <t>GEORREFERENCIAMENTO</t>
  </si>
  <si>
    <t>GOVERNANÇA E PARTICIPAÇÃO</t>
  </si>
  <si>
    <t>MOBILIZAÇÃO SOCIAL</t>
  </si>
  <si>
    <t>MONITORAMENTO E AVALIAÇÃO (2 PESSOAS ADM PÚBLICA  x 10 MESES)</t>
  </si>
  <si>
    <t>PATRIMÔNIO HISTÓRICO, CULTURAL E AMBIENTAL</t>
  </si>
  <si>
    <t>PLANEJAMENTO E GESTÃO FISCAL</t>
  </si>
  <si>
    <t>PLANEJAMENTO URBANO E TERRITORIAL (2 PESSOAS: GEÓGRAFO + ARQUITETO X 10 MESES)</t>
  </si>
  <si>
    <t>RECURSOS HÍDRICOS</t>
  </si>
  <si>
    <t>RESÍDUOS SÓLIDOS E ZEE</t>
  </si>
  <si>
    <t>SANEAMENTO</t>
  </si>
  <si>
    <t>SMART CITIES</t>
  </si>
  <si>
    <t>TRANSPORTE E MOBILIDADE</t>
  </si>
  <si>
    <t>ESTAGIÁRIOS</t>
  </si>
  <si>
    <t>COMBUSTÍVEL</t>
  </si>
  <si>
    <t>HOSPEDAGEM DE SITE/PLATAFORMA VIRTUAL</t>
  </si>
  <si>
    <t>SERVIÇOS GRÁFICOS</t>
  </si>
  <si>
    <t>ALIMENTAÇÃO</t>
  </si>
  <si>
    <t>MATERIAL DE EXPEDIENTE</t>
  </si>
  <si>
    <t>MATERIAL PARA EVENTOS</t>
  </si>
  <si>
    <t>CAIXA DE SOM AMPLIFICADORA</t>
  </si>
  <si>
    <t>CÂMERA FILMADORA</t>
  </si>
  <si>
    <t>CÂMERA FOTOGRÁFICA SEMIPROFISSIONAL</t>
  </si>
  <si>
    <t>COMPUTADOR DESKTOP AVANÇADO</t>
  </si>
  <si>
    <t>IMPRESSORA MULTIFUNCIONAL COLORIDA</t>
  </si>
  <si>
    <t>IMPRESSORA PLOTTER TAMANHO A1</t>
  </si>
  <si>
    <t>KIT MICROFONE</t>
  </si>
  <si>
    <t>PROJETOR MULTIMÍDIA</t>
  </si>
  <si>
    <t>D.O.A. FUNDAÇÃO</t>
  </si>
  <si>
    <t>RESSARCIMENTO PELO USO DE BENS E SERVIÇOS</t>
  </si>
  <si>
    <t>DIEGO COELHO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</si>
</sst>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  <numFmt numFmtId="165" formatCode="#,##0.00_ ;[Red]\-#,##0.00\ "/>
    <numFmt numFmtId="166" formatCode="0000"/>
    <numFmt numFmtId="167" formatCode="dd/mm/yy;@"/>
    <numFmt numFmtId="168" formatCode="0.0000000000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u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3" fillId="3" borderId="7" xfId="0" applyFont="1" applyFill="1" applyBorder="1" applyAlignment="1">
      <alignment horizontal="right" indent="1"/>
    </xf>
    <xf numFmtId="165" fontId="3" fillId="0" borderId="1" xfId="0" applyNumberFormat="1" applyFont="1" applyBorder="1"/>
    <xf numFmtId="165" fontId="3" fillId="3" borderId="1" xfId="0" applyNumberFormat="1" applyFont="1" applyFill="1" applyBorder="1"/>
    <xf numFmtId="0" fontId="3" fillId="3" borderId="23" xfId="0" applyFont="1" applyFill="1" applyBorder="1" applyAlignment="1"/>
    <xf numFmtId="4" fontId="3" fillId="3" borderId="23" xfId="0" applyNumberFormat="1" applyFont="1" applyFill="1" applyBorder="1" applyAlignment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9" fontId="4" fillId="0" borderId="0" xfId="1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0" fontId="4" fillId="0" borderId="0" xfId="0" applyFont="1"/>
    <xf numFmtId="14" fontId="4" fillId="0" borderId="7" xfId="0" applyNumberFormat="1" applyFont="1" applyBorder="1"/>
    <xf numFmtId="0" fontId="4" fillId="3" borderId="8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5" fontId="4" fillId="3" borderId="18" xfId="0" applyNumberFormat="1" applyFont="1" applyFill="1" applyBorder="1"/>
    <xf numFmtId="165" fontId="4" fillId="0" borderId="19" xfId="0" applyNumberFormat="1" applyFont="1" applyBorder="1"/>
    <xf numFmtId="0" fontId="4" fillId="0" borderId="0" xfId="0" applyFont="1" applyAlignment="1"/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4" fontId="4" fillId="0" borderId="0" xfId="0" applyNumberFormat="1" applyFont="1" applyAlignment="1"/>
    <xf numFmtId="17" fontId="4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7" fontId="4" fillId="0" borderId="0" xfId="0" applyNumberFormat="1" applyFont="1" applyAlignment="1">
      <alignment horizontal="left"/>
    </xf>
    <xf numFmtId="17" fontId="4" fillId="0" borderId="0" xfId="0" applyNumberFormat="1" applyFont="1" applyAlignment="1"/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166" fontId="4" fillId="0" borderId="0" xfId="0" applyNumberFormat="1" applyFont="1" applyAlignment="1"/>
    <xf numFmtId="167" fontId="4" fillId="0" borderId="0" xfId="0" applyNumberFormat="1" applyFont="1" applyAlignment="1"/>
    <xf numFmtId="0" fontId="0" fillId="0" borderId="0" xfId="0" applyAlignment="1"/>
    <xf numFmtId="165" fontId="4" fillId="0" borderId="0" xfId="0" applyNumberFormat="1" applyFont="1" applyBorder="1" applyAlignment="1">
      <alignment horizontal="right"/>
    </xf>
    <xf numFmtId="0" fontId="4" fillId="0" borderId="0" xfId="0" applyNumberFormat="1" applyFont="1" applyAlignment="1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/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6" fillId="5" borderId="10" xfId="0" applyFont="1" applyFill="1" applyBorder="1"/>
    <xf numFmtId="0" fontId="6" fillId="5" borderId="7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4" borderId="10" xfId="0" applyFont="1" applyFill="1" applyBorder="1"/>
    <xf numFmtId="44" fontId="6" fillId="4" borderId="7" xfId="2" applyFont="1" applyFill="1" applyBorder="1"/>
    <xf numFmtId="44" fontId="6" fillId="4" borderId="9" xfId="2" applyFont="1" applyFill="1" applyBorder="1"/>
    <xf numFmtId="0" fontId="7" fillId="0" borderId="27" xfId="0" applyFont="1" applyBorder="1"/>
    <xf numFmtId="44" fontId="7" fillId="0" borderId="28" xfId="2" applyFont="1" applyBorder="1"/>
    <xf numFmtId="44" fontId="7" fillId="0" borderId="29" xfId="2" applyFont="1" applyBorder="1"/>
    <xf numFmtId="0" fontId="7" fillId="0" borderId="0" xfId="0" applyFont="1" applyBorder="1"/>
    <xf numFmtId="0" fontId="7" fillId="0" borderId="24" xfId="0" applyFont="1" applyBorder="1"/>
    <xf numFmtId="44" fontId="7" fillId="0" borderId="25" xfId="2" applyFont="1" applyBorder="1"/>
    <xf numFmtId="44" fontId="7" fillId="0" borderId="26" xfId="2" applyFont="1" applyBorder="1"/>
    <xf numFmtId="0" fontId="7" fillId="0" borderId="10" xfId="0" applyFont="1" applyBorder="1"/>
    <xf numFmtId="44" fontId="7" fillId="0" borderId="7" xfId="2" applyFont="1" applyBorder="1"/>
    <xf numFmtId="44" fontId="7" fillId="0" borderId="9" xfId="2" applyFont="1" applyBorder="1"/>
    <xf numFmtId="164" fontId="7" fillId="0" borderId="7" xfId="2" applyNumberFormat="1" applyFont="1" applyBorder="1" applyAlignment="1">
      <alignment horizontal="right"/>
    </xf>
    <xf numFmtId="164" fontId="7" fillId="0" borderId="9" xfId="2" applyNumberFormat="1" applyFont="1" applyBorder="1" applyAlignment="1">
      <alignment horizontal="right"/>
    </xf>
    <xf numFmtId="14" fontId="4" fillId="0" borderId="0" xfId="0" applyNumberFormat="1" applyFont="1" applyAlignment="1"/>
    <xf numFmtId="164" fontId="4" fillId="0" borderId="13" xfId="0" applyNumberFormat="1" applyFont="1" applyBorder="1" applyAlignment="1">
      <alignment horizontal="center"/>
    </xf>
    <xf numFmtId="165" fontId="3" fillId="3" borderId="23" xfId="0" applyNumberFormat="1" applyFont="1" applyFill="1" applyBorder="1" applyAlignment="1"/>
    <xf numFmtId="0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7" fillId="0" borderId="0" xfId="0" applyNumberFormat="1" applyFont="1"/>
    <xf numFmtId="44" fontId="7" fillId="0" borderId="0" xfId="2" applyFont="1"/>
    <xf numFmtId="164" fontId="4" fillId="6" borderId="13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165" fontId="3" fillId="0" borderId="33" xfId="0" applyNumberFormat="1" applyFont="1" applyBorder="1"/>
    <xf numFmtId="165" fontId="3" fillId="0" borderId="34" xfId="0" applyNumberFormat="1" applyFont="1" applyBorder="1"/>
    <xf numFmtId="0" fontId="4" fillId="6" borderId="36" xfId="0" applyFont="1" applyFill="1" applyBorder="1" applyAlignment="1"/>
    <xf numFmtId="4" fontId="4" fillId="6" borderId="36" xfId="0" applyNumberFormat="1" applyFont="1" applyFill="1" applyBorder="1"/>
    <xf numFmtId="4" fontId="4" fillId="6" borderId="37" xfId="0" applyNumberFormat="1" applyFont="1" applyFill="1" applyBorder="1"/>
    <xf numFmtId="4" fontId="4" fillId="0" borderId="14" xfId="0" applyNumberFormat="1" applyFont="1" applyBorder="1"/>
    <xf numFmtId="4" fontId="4" fillId="6" borderId="14" xfId="0" applyNumberFormat="1" applyFont="1" applyFill="1" applyBorder="1"/>
    <xf numFmtId="14" fontId="4" fillId="0" borderId="25" xfId="0" applyNumberFormat="1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Border="1"/>
    <xf numFmtId="0" fontId="4" fillId="6" borderId="0" xfId="0" applyFont="1" applyFill="1" applyBorder="1" applyAlignment="1"/>
    <xf numFmtId="4" fontId="4" fillId="6" borderId="0" xfId="0" applyNumberFormat="1" applyFont="1" applyFill="1" applyBorder="1"/>
    <xf numFmtId="0" fontId="8" fillId="0" borderId="33" xfId="0" applyFont="1" applyBorder="1"/>
    <xf numFmtId="0" fontId="3" fillId="0" borderId="35" xfId="0" applyFont="1" applyBorder="1" applyAlignment="1">
      <alignment horizontal="center" vertical="center" wrapText="1"/>
    </xf>
    <xf numFmtId="40" fontId="0" fillId="0" borderId="0" xfId="0" applyNumberFormat="1" applyFont="1"/>
    <xf numFmtId="0" fontId="0" fillId="0" borderId="0" xfId="0" applyAlignment="1">
      <alignment horizontal="center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44" fontId="4" fillId="0" borderId="0" xfId="2" applyFont="1"/>
    <xf numFmtId="44" fontId="4" fillId="0" borderId="0" xfId="0" applyNumberFormat="1" applyFont="1"/>
    <xf numFmtId="164" fontId="4" fillId="6" borderId="35" xfId="0" applyNumberFormat="1" applyFont="1" applyFill="1" applyBorder="1" applyAlignment="1">
      <alignment horizontal="center"/>
    </xf>
    <xf numFmtId="14" fontId="4" fillId="0" borderId="28" xfId="0" applyNumberFormat="1" applyFont="1" applyBorder="1" applyAlignment="1">
      <alignment horizontal="center"/>
    </xf>
    <xf numFmtId="168" fontId="4" fillId="0" borderId="0" xfId="0" applyNumberFormat="1" applyFont="1"/>
    <xf numFmtId="0" fontId="3" fillId="3" borderId="7" xfId="0" applyFont="1" applyFill="1" applyBorder="1" applyAlignment="1">
      <alignment horizontal="right" indent="1"/>
    </xf>
    <xf numFmtId="0" fontId="11" fillId="0" borderId="0" xfId="0" applyNumberFormat="1" applyFont="1" applyAlignment="1">
      <alignment horizontal="left"/>
    </xf>
    <xf numFmtId="0" fontId="12" fillId="0" borderId="0" xfId="0" applyFont="1"/>
    <xf numFmtId="43" fontId="4" fillId="0" borderId="0" xfId="3" applyFont="1" applyAlignment="1">
      <alignment horizontal="center"/>
    </xf>
    <xf numFmtId="0" fontId="4" fillId="0" borderId="0" xfId="0" applyNumberFormat="1" applyFont="1" applyAlignment="1">
      <alignment horizontal="left"/>
    </xf>
    <xf numFmtId="43" fontId="4" fillId="0" borderId="0" xfId="3" applyFont="1" applyAlignment="1">
      <alignment horizontal="left"/>
    </xf>
    <xf numFmtId="0" fontId="4" fillId="0" borderId="0" xfId="3" applyNumberFormat="1" applyFont="1" applyAlignment="1">
      <alignment horizontal="center"/>
    </xf>
    <xf numFmtId="0" fontId="4" fillId="3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21" xfId="0" applyFont="1" applyBorder="1"/>
    <xf numFmtId="0" fontId="3" fillId="3" borderId="21" xfId="0" applyFont="1" applyFill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9" fontId="4" fillId="0" borderId="0" xfId="0" applyNumberFormat="1" applyFont="1" applyBorder="1" applyAlignment="1">
      <alignment horizontal="center"/>
    </xf>
    <xf numFmtId="43" fontId="4" fillId="0" borderId="0" xfId="3" applyFont="1" applyBorder="1" applyAlignment="1">
      <alignment horizontal="center"/>
    </xf>
    <xf numFmtId="43" fontId="0" fillId="3" borderId="23" xfId="0" applyNumberFormat="1" applyFont="1" applyFill="1" applyBorder="1" applyAlignment="1"/>
    <xf numFmtId="1" fontId="4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indent="1"/>
    </xf>
    <xf numFmtId="0" fontId="3" fillId="3" borderId="4" xfId="0" applyFont="1" applyFill="1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39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3" fillId="3" borderId="6" xfId="0" applyFont="1" applyFill="1" applyBorder="1" applyAlignment="1">
      <alignment horizontal="right" vertical="center" indent="1"/>
    </xf>
    <xf numFmtId="0" fontId="3" fillId="3" borderId="7" xfId="0" applyFont="1" applyFill="1" applyBorder="1" applyAlignment="1">
      <alignment horizontal="right" vertical="center" indent="1"/>
    </xf>
    <xf numFmtId="0" fontId="4" fillId="0" borderId="7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3" borderId="13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20" xfId="0" applyFont="1" applyBorder="1"/>
    <xf numFmtId="0" fontId="3" fillId="0" borderId="21" xfId="0" applyFont="1" applyBorder="1"/>
    <xf numFmtId="0" fontId="3" fillId="3" borderId="6" xfId="0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right" indent="1"/>
    </xf>
    <xf numFmtId="0" fontId="4" fillId="0" borderId="9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3" fillId="3" borderId="1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 indent="1"/>
    </xf>
    <xf numFmtId="0" fontId="3" fillId="3" borderId="10" xfId="0" applyFont="1" applyFill="1" applyBorder="1" applyAlignment="1">
      <alignment horizontal="righ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quotePrefix="1" applyNumberFormat="1" applyFont="1" applyBorder="1" applyAlignment="1">
      <alignment horizontal="right"/>
    </xf>
    <xf numFmtId="0" fontId="4" fillId="0" borderId="11" xfId="0" quotePrefix="1" applyNumberFormat="1" applyFont="1" applyBorder="1" applyAlignment="1">
      <alignment horizontal="right"/>
    </xf>
    <xf numFmtId="0" fontId="4" fillId="0" borderId="12" xfId="0" quotePrefix="1" applyNumberFormat="1" applyFont="1" applyBorder="1" applyAlignment="1">
      <alignment horizontal="right"/>
    </xf>
    <xf numFmtId="0" fontId="3" fillId="3" borderId="20" xfId="0" applyFont="1" applyFill="1" applyBorder="1"/>
    <xf numFmtId="0" fontId="3" fillId="3" borderId="21" xfId="0" applyFont="1" applyFill="1" applyBorder="1"/>
    <xf numFmtId="0" fontId="4" fillId="0" borderId="39" xfId="0" applyFont="1" applyBorder="1" applyAlignment="1">
      <alignment horizontal="left" wrapText="1" indent="1"/>
    </xf>
    <xf numFmtId="0" fontId="4" fillId="0" borderId="40" xfId="0" applyFont="1" applyBorder="1" applyAlignment="1">
      <alignment horizontal="left" wrapText="1" indent="1"/>
    </xf>
    <xf numFmtId="0" fontId="4" fillId="0" borderId="46" xfId="0" applyFont="1" applyBorder="1" applyAlignment="1">
      <alignment horizontal="left" wrapText="1" indent="1"/>
    </xf>
    <xf numFmtId="0" fontId="4" fillId="0" borderId="11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0" borderId="12" xfId="0" applyFont="1" applyBorder="1" applyAlignment="1">
      <alignment horizontal="left" indent="1"/>
    </xf>
    <xf numFmtId="0" fontId="4" fillId="0" borderId="29" xfId="0" applyFont="1" applyBorder="1" applyAlignment="1">
      <alignment horizontal="left" indent="1"/>
    </xf>
    <xf numFmtId="0" fontId="4" fillId="0" borderId="41" xfId="0" applyFont="1" applyBorder="1" applyAlignment="1">
      <alignment horizontal="left" indent="1"/>
    </xf>
    <xf numFmtId="0" fontId="4" fillId="0" borderId="47" xfId="0" applyFont="1" applyBorder="1" applyAlignment="1">
      <alignment horizontal="left" indent="1"/>
    </xf>
    <xf numFmtId="0" fontId="3" fillId="0" borderId="31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right" indent="1"/>
    </xf>
    <xf numFmtId="0" fontId="3" fillId="3" borderId="42" xfId="0" applyFont="1" applyFill="1" applyBorder="1" applyAlignment="1">
      <alignment horizontal="right" indent="1"/>
    </xf>
    <xf numFmtId="0" fontId="3" fillId="3" borderId="28" xfId="0" applyFont="1" applyFill="1" applyBorder="1" applyAlignment="1">
      <alignment horizontal="right" indent="1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3" fillId="3" borderId="23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wrapText="1" indent="1"/>
    </xf>
    <xf numFmtId="14" fontId="4" fillId="0" borderId="7" xfId="0" applyNumberFormat="1" applyFont="1" applyBorder="1" applyAlignment="1">
      <alignment horizontal="left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wrapText="1" indent="1"/>
    </xf>
    <xf numFmtId="0" fontId="4" fillId="0" borderId="11" xfId="0" applyFont="1" applyBorder="1" applyAlignment="1">
      <alignment horizontal="left" wrapText="1" indent="1"/>
    </xf>
    <xf numFmtId="0" fontId="4" fillId="0" borderId="10" xfId="0" applyFont="1" applyBorder="1" applyAlignment="1">
      <alignment horizontal="left" wrapText="1" indent="1"/>
    </xf>
    <xf numFmtId="14" fontId="4" fillId="0" borderId="9" xfId="0" applyNumberFormat="1" applyFont="1" applyBorder="1" applyAlignment="1">
      <alignment horizontal="left" indent="1"/>
    </xf>
    <xf numFmtId="14" fontId="4" fillId="0" borderId="11" xfId="0" applyNumberFormat="1" applyFont="1" applyBorder="1" applyAlignment="1">
      <alignment horizontal="left" indent="1"/>
    </xf>
    <xf numFmtId="14" fontId="4" fillId="0" borderId="10" xfId="0" applyNumberFormat="1" applyFont="1" applyBorder="1" applyAlignment="1">
      <alignment horizontal="left" indent="1"/>
    </xf>
    <xf numFmtId="0" fontId="3" fillId="3" borderId="23" xfId="0" applyFont="1" applyFill="1" applyBorder="1" applyAlignment="1">
      <alignment horizontal="right" indent="1"/>
    </xf>
    <xf numFmtId="0" fontId="6" fillId="5" borderId="0" xfId="0" applyFont="1" applyFill="1" applyAlignment="1">
      <alignment horizontal="center"/>
    </xf>
  </cellXfs>
  <cellStyles count="4">
    <cellStyle name="Moeda" xfId="2" builtinId="4"/>
    <cellStyle name="Normal" xfId="0" builtinId="0"/>
    <cellStyle name="Porcentagem" xfId="1" builtinId="5"/>
    <cellStyle name="Vírgula" xfId="3" builtinId="3"/>
  </cellStyles>
  <dxfs count="128"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35</xdr:row>
      <xdr:rowOff>76200</xdr:rowOff>
    </xdr:from>
    <xdr:to>
      <xdr:col>6</xdr:col>
      <xdr:colOff>471683</xdr:colOff>
      <xdr:row>36</xdr:row>
      <xdr:rowOff>180594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6248400"/>
          <a:ext cx="2243333" cy="2948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sumo" displayName="resumo" ref="B12:K19" totalsRowCount="1" headerRowDxfId="127" dataDxfId="126" totalsRowDxfId="124" tableBorderDxfId="125">
  <tableColumns count="10">
    <tableColumn id="1" name="N° " totalsRowLabel="Total" dataDxfId="123" totalsRowDxfId="122"/>
    <tableColumn id="2" name="Rubrica" dataDxfId="121" totalsRowDxfId="120"/>
    <tableColumn id="3" name="Programado" totalsRowFunction="sum" dataDxfId="119" totalsRowDxfId="118"/>
    <tableColumn id="4" name="Recebimento" totalsRowFunction="sum" dataDxfId="117" totalsRowDxfId="116"/>
    <tableColumn id="5" name="% Recebido" totalsRowFunction="custom" dataDxfId="115" totalsRowDxfId="114" dataCellStyle="Porcentagem">
      <calculatedColumnFormula>IFERROR(resumo[[#This Row],[Recebimento]]/resumo[[#This Row],[Programado]],0)</calculatedColumnFormula>
      <totalsRowFormula>IFERROR(E19/D19,0)</totalsRowFormula>
    </tableColumn>
    <tableColumn id="6" name="Saldo do Programado" totalsRowFunction="custom" dataDxfId="113" totalsRowDxfId="112">
      <calculatedColumnFormula>IFERROR(resumo[[#This Row],[Programado]]-resumo[[#This Row],[Recebimento]],"---")</calculatedColumnFormula>
      <totalsRowFormula>ROUND(SUBTOTAL(109,resumo[Saldo do Programado]),2)</totalsRowFormula>
    </tableColumn>
    <tableColumn id="7" name="Utilizado" totalsRowFunction="sum" dataDxfId="111" totalsRowDxfId="110">
      <calculatedColumnFormula>SUM(tbAba01[VALOR])</calculatedColumnFormula>
    </tableColumn>
    <tableColumn id="8" name="% Utilizado" totalsRowFunction="custom" dataDxfId="109" totalsRowDxfId="108" dataCellStyle="Porcentagem">
      <calculatedColumnFormula>IFERROR(resumo[[#This Row],[Utilizado]]/resumo[[#This Row],[Programado]],0)</calculatedColumnFormula>
      <totalsRowFormula>IF(D19&lt;=0,0,H19/D19)</totalsRowFormula>
    </tableColumn>
    <tableColumn id="10" name="Utilização de Rendimentos" totalsRowFunction="sum" dataDxfId="107" totalsRowDxfId="106" dataCellStyle="Vírgula"/>
    <tableColumn id="9" name="Saldo do Recebimento" totalsRowFunction="sum" dataDxfId="105" totalsRowDxfId="104">
      <calculatedColumnFormula>IFERROR(resumo[[#This Row],[Recebimento]]-resumo[[#This Row],[Utilizado]]+resumo[[#This Row],[Utilização de Rendimentos]],"---")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7" name="tbAba05" displayName="tbAba05" ref="B9:I10" totalsRowShown="0" headerRowDxfId="17" dataDxfId="16">
  <autoFilter ref="B9:I10"/>
  <sortState ref="B10:J12">
    <sortCondition ref="C10:C13"/>
  </sortState>
  <tableColumns count="8">
    <tableColumn id="1" name="#" dataDxfId="15">
      <calculatedColumnFormula>IF(ISNUMBER(B9),B9+1,1)</calculatedColumnFormula>
    </tableColumn>
    <tableColumn id="2" name="DATA" dataDxfId="14"/>
    <tableColumn id="3" name="ÍTEM" dataDxfId="13"/>
    <tableColumn id="8" name="CH" dataDxfId="12"/>
    <tableColumn id="4" name="NF" dataDxfId="11"/>
    <tableColumn id="5" name="FAVORECIDO" dataDxfId="10"/>
    <tableColumn id="6" name="CPF/CNPJ" dataDxfId="9"/>
    <tableColumn id="7" name="VALOR" dataDxfId="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8" name="tbAba06" displayName="tbAba06" ref="B9:G10" totalsRowShown="0" headerRowDxfId="7" dataDxfId="6">
  <autoFilter ref="B9:G10"/>
  <sortState ref="B10:J12">
    <sortCondition ref="C10:C13"/>
  </sortState>
  <tableColumns count="6">
    <tableColumn id="1" name="#" dataDxfId="5">
      <calculatedColumnFormula>IF(ISNUMBER(B9),B9+1,1)</calculatedColumnFormula>
    </tableColumn>
    <tableColumn id="2" name="DATA" dataDxfId="4"/>
    <tableColumn id="3" name="ÍTEM" dataDxfId="3"/>
    <tableColumn id="5" name="FAVORECIDO" dataDxfId="2"/>
    <tableColumn id="6" name="CPF/CNPJ" dataDxfId="1"/>
    <tableColumn id="7" name="VALOR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1" name="orcamento" displayName="orcamento" ref="B2:J41" totalsRowCount="1" headerRowDxfId="103" dataDxfId="102" totalsRowDxfId="101">
  <autoFilter ref="B2:J40"/>
  <sortState ref="B3:J16">
    <sortCondition ref="C2:C33"/>
  </sortState>
  <tableColumns count="9">
    <tableColumn id="1" name="N°" dataDxfId="100" totalsRowDxfId="99"/>
    <tableColumn id="2" name="Rubrica" dataDxfId="98" totalsRowDxfId="97"/>
    <tableColumn id="3" name="TIPO" dataDxfId="96" totalsRowDxfId="95"/>
    <tableColumn id="4" name="Item" dataDxfId="94" totalsRowDxfId="93"/>
    <tableColumn id="5" name="Quant." dataDxfId="92" totalsRowDxfId="91"/>
    <tableColumn id="6" name="Valor Unitário" dataDxfId="90" totalsRowDxfId="89"/>
    <tableColumn id="7" name="Valor Programado" totalsRowFunction="custom" dataDxfId="88" totalsRowDxfId="87">
      <calculatedColumnFormula>G3*F3</calculatedColumnFormula>
      <totalsRowFormula>SUM(H3:H40)</totalsRowFormula>
    </tableColumn>
    <tableColumn id="8" name="Utilizado" totalsRowFunction="sum" dataDxfId="86" totalsRowDxfId="85">
      <calculatedColumnFormula>SUMIF(tbAba06[ÍTEM],orcamento[[#This Row],[N°]],tbAba06[VALOR])</calculatedColumnFormula>
    </tableColumn>
    <tableColumn id="9" name="Saldo" totalsRowFunction="sum" dataDxfId="84" totalsRowDxfId="83">
      <calculatedColumnFormula>orcamento[[#This Row],[Valor Programado]]-orcamento[[#This Row],[Utilizado]]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rifa_bancaria" displayName="tarifa_bancaria" ref="B10:E11" totalsRowShown="0" headerRowDxfId="82" dataDxfId="81">
  <autoFilter ref="B10:E11"/>
  <tableColumns count="4">
    <tableColumn id="1" name="#" dataDxfId="80"/>
    <tableColumn id="2" name="DATA" dataDxfId="79"/>
    <tableColumn id="3" name="DESCRIÇÃO" dataDxfId="78"/>
    <tableColumn id="4" name="VALOR" dataDxfId="7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aplicacao" displayName="aplicacao" ref="B9:I10" totalsRowShown="0" headerRowDxfId="76" dataDxfId="75">
  <autoFilter ref="B9:I10"/>
  <tableColumns count="8">
    <tableColumn id="1" name="#" dataDxfId="74"/>
    <tableColumn id="2" name="DATA" dataDxfId="73"/>
    <tableColumn id="3" name="SALDO" dataDxfId="72">
      <calculatedColumnFormula>E9-F9+I9+D9</calculatedColumnFormula>
    </tableColumn>
    <tableColumn id="4" name="APLICAÇÃO" dataDxfId="71"/>
    <tableColumn id="5" name="RESGATE" dataDxfId="70"/>
    <tableColumn id="6" name="RENDIMENTO" dataDxfId="69"/>
    <tableColumn id="7" name="ENCARGOS" dataDxfId="68"/>
    <tableColumn id="8" name="REND. LÍQUIDO" dataDxfId="67">
      <calculatedColumnFormula>aplicacao[[#This Row],[RENDIMENTO]]-aplicacao[[#This Row],[ENCARGOS]]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bAba01" displayName="tbAba01" ref="B9:I10" totalsRowShown="0" headerRowDxfId="66" dataDxfId="65">
  <autoFilter ref="B9:I10"/>
  <sortState ref="B11:K107">
    <sortCondition ref="C10:C107"/>
  </sortState>
  <tableColumns count="8">
    <tableColumn id="1" name="#" dataDxfId="64">
      <calculatedColumnFormula>IF(ISNUMBER(B9),B9+1,1)</calculatedColumnFormula>
    </tableColumn>
    <tableColumn id="2" name="DATA" dataDxfId="63"/>
    <tableColumn id="3" name="ÍTEM" dataDxfId="62"/>
    <tableColumn id="4" name="CH" dataDxfId="61"/>
    <tableColumn id="10" name="COMPETÊNCIA" dataDxfId="60"/>
    <tableColumn id="6" name="FAVORECIDO" dataDxfId="59"/>
    <tableColumn id="7" name="CPF" dataDxfId="58"/>
    <tableColumn id="8" name="VALOR" dataDxfId="5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tbAba02" displayName="tbAba02" ref="B9:I10" totalsRowShown="0" headerRowDxfId="56" dataDxfId="55">
  <autoFilter ref="B9:I10"/>
  <sortState ref="B11:K15">
    <sortCondition ref="C10:C15"/>
  </sortState>
  <tableColumns count="8">
    <tableColumn id="1" name="#" dataDxfId="54">
      <calculatedColumnFormula>IF(ISNUMBER(B9),B9+1,1)</calculatedColumnFormula>
    </tableColumn>
    <tableColumn id="2" name="DATA" dataDxfId="53"/>
    <tableColumn id="3" name="ÍTEM" dataDxfId="52"/>
    <tableColumn id="4" name="CH" dataDxfId="51"/>
    <tableColumn id="5" name="NF" dataDxfId="50"/>
    <tableColumn id="6" name="FAVORECIDO" dataDxfId="49"/>
    <tableColumn id="7" name="CPF/CNPJ" dataDxfId="48"/>
    <tableColumn id="8" name="VALOR" dataDxfId="4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2" name="viagens" displayName="viagens" ref="B10:J11" totalsRowShown="0" headerRowDxfId="46" dataDxfId="45">
  <autoFilter ref="B10:J11"/>
  <tableColumns count="9">
    <tableColumn id="1" name="#" dataDxfId="44"/>
    <tableColumn id="2" name="DATA" dataDxfId="43"/>
    <tableColumn id="3" name="CHEQUE" dataDxfId="42"/>
    <tableColumn id="4" name="DOCUMENTO" dataDxfId="41"/>
    <tableColumn id="8" name="EMISSÃO" dataDxfId="40"/>
    <tableColumn id="9" name="Item" dataDxfId="39"/>
    <tableColumn id="5" name="DESCRIÇÃO" dataDxfId="38"/>
    <tableColumn id="6" name="CNPJ" dataDxfId="37"/>
    <tableColumn id="7" name="VALOR" dataDxfId="3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3" name="tbAba03" displayName="tbAba03" ref="B9:I10" totalsRowShown="0" headerRowDxfId="35" dataDxfId="34">
  <autoFilter ref="B9:I10"/>
  <tableColumns count="8">
    <tableColumn id="1" name="#" dataDxfId="33">
      <calculatedColumnFormula>IF(ISNUMBER(B9),B9+1,1)</calculatedColumnFormula>
    </tableColumn>
    <tableColumn id="2" name="DATA" dataDxfId="32"/>
    <tableColumn id="3" name="ÍTEM" dataDxfId="31"/>
    <tableColumn id="4" name="CH" dataDxfId="30"/>
    <tableColumn id="8" name="NF" dataDxfId="29" dataCellStyle="Vírgula"/>
    <tableColumn id="10" name="FAVORECIDO" dataDxfId="28" dataCellStyle="Vírgula"/>
    <tableColumn id="9" name="CPF/CNPJ" dataDxfId="27" dataCellStyle="Vírgula"/>
    <tableColumn id="5" name="VALOR" dataDxfId="26" dataCellStyle="Vírgula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6" name="tbAba04" displayName="tbAba04" ref="B9:G10" totalsRowShown="0" headerRowDxfId="25" dataDxfId="24">
  <autoFilter ref="B9:G10"/>
  <sortState ref="B11:J13">
    <sortCondition ref="C10:C13"/>
  </sortState>
  <tableColumns count="6">
    <tableColumn id="1" name="#" dataDxfId="23">
      <calculatedColumnFormula>IF(ISNUMBER(B9),B9+1,1)</calculatedColumnFormula>
    </tableColumn>
    <tableColumn id="2" name="DATA" dataDxfId="22"/>
    <tableColumn id="3" name="ÍTEM" dataDxfId="21"/>
    <tableColumn id="5" name="FAVORECIDO" dataDxfId="20"/>
    <tableColumn id="6" name="CPF/CNPJ" dataDxfId="19"/>
    <tableColumn id="7" name="VALOR" dataDxfId="1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showGridLines="0" tabSelected="1" topLeftCell="B1" workbookViewId="0">
      <selection activeCell="D5" sqref="D5:K5"/>
    </sheetView>
  </sheetViews>
  <sheetFormatPr defaultRowHeight="12.75" x14ac:dyDescent="0.2"/>
  <cols>
    <col min="1" max="1" width="2.85546875" style="10" customWidth="1"/>
    <col min="2" max="2" width="5.42578125" style="10" bestFit="1" customWidth="1"/>
    <col min="3" max="3" width="16.5703125" style="10" customWidth="1"/>
    <col min="4" max="5" width="12.42578125" style="10" customWidth="1"/>
    <col min="6" max="6" width="13.42578125" style="10" customWidth="1"/>
    <col min="7" max="7" width="15.28515625" style="10" customWidth="1"/>
    <col min="8" max="9" width="12.42578125" style="10" customWidth="1"/>
    <col min="10" max="10" width="11" style="10" bestFit="1" customWidth="1"/>
    <col min="11" max="11" width="10.85546875" style="10" bestFit="1" customWidth="1"/>
    <col min="12" max="12" width="9.140625" style="10"/>
    <col min="13" max="13" width="26.85546875" style="10" bestFit="1" customWidth="1"/>
    <col min="14" max="16384" width="9.140625" style="10"/>
  </cols>
  <sheetData>
    <row r="2" spans="2:11" x14ac:dyDescent="0.2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1" x14ac:dyDescent="0.2"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2:11" x14ac:dyDescent="0.2">
      <c r="B4" s="110" t="s">
        <v>2</v>
      </c>
      <c r="C4" s="111"/>
      <c r="D4" s="112" t="s">
        <v>3</v>
      </c>
      <c r="E4" s="112"/>
      <c r="F4" s="112"/>
      <c r="G4" s="112"/>
      <c r="H4" s="112"/>
      <c r="I4" s="112"/>
      <c r="J4" s="113"/>
      <c r="K4" s="114"/>
    </row>
    <row r="5" spans="2:11" ht="29.25" customHeight="1" x14ac:dyDescent="0.2">
      <c r="B5" s="115" t="s">
        <v>4</v>
      </c>
      <c r="C5" s="116"/>
      <c r="D5" s="117" t="s">
        <v>129</v>
      </c>
      <c r="E5" s="117"/>
      <c r="F5" s="117"/>
      <c r="G5" s="117"/>
      <c r="H5" s="117"/>
      <c r="I5" s="117"/>
      <c r="J5" s="118"/>
      <c r="K5" s="119"/>
    </row>
    <row r="6" spans="2:11" x14ac:dyDescent="0.2">
      <c r="B6" s="132" t="s">
        <v>5</v>
      </c>
      <c r="C6" s="133"/>
      <c r="D6" s="11">
        <v>44396</v>
      </c>
      <c r="E6" s="11">
        <v>44853</v>
      </c>
      <c r="F6" s="140" t="s">
        <v>6</v>
      </c>
      <c r="G6" s="141"/>
      <c r="H6" s="11">
        <v>44396</v>
      </c>
      <c r="I6" s="11">
        <v>44377</v>
      </c>
      <c r="J6" s="12"/>
      <c r="K6" s="12"/>
    </row>
    <row r="7" spans="2:11" x14ac:dyDescent="0.2">
      <c r="B7" s="132"/>
      <c r="C7" s="133"/>
      <c r="D7" s="142" t="s">
        <v>128</v>
      </c>
      <c r="E7" s="142"/>
      <c r="F7" s="142"/>
      <c r="G7" s="142"/>
      <c r="H7" s="142"/>
      <c r="I7" s="142"/>
      <c r="J7" s="134"/>
      <c r="K7" s="143"/>
    </row>
    <row r="8" spans="2:11" x14ac:dyDescent="0.2">
      <c r="B8" s="132" t="s">
        <v>9</v>
      </c>
      <c r="C8" s="133"/>
      <c r="D8" s="142" t="s">
        <v>173</v>
      </c>
      <c r="E8" s="142"/>
      <c r="F8" s="142"/>
      <c r="G8" s="142"/>
      <c r="H8" s="142"/>
      <c r="I8" s="142"/>
      <c r="J8" s="134"/>
      <c r="K8" s="143"/>
    </row>
    <row r="9" spans="2:11" ht="15" customHeight="1" x14ac:dyDescent="0.2">
      <c r="B9" s="132" t="s">
        <v>11</v>
      </c>
      <c r="C9" s="133"/>
      <c r="D9" s="134" t="s">
        <v>127</v>
      </c>
      <c r="E9" s="135"/>
      <c r="F9" s="135"/>
      <c r="G9" s="136"/>
      <c r="H9" s="1" t="s">
        <v>34</v>
      </c>
      <c r="I9" s="144" t="s">
        <v>130</v>
      </c>
      <c r="J9" s="145"/>
      <c r="K9" s="146"/>
    </row>
    <row r="10" spans="2:11" ht="15" customHeight="1" x14ac:dyDescent="0.2">
      <c r="B10" s="132" t="s">
        <v>116</v>
      </c>
      <c r="C10" s="133"/>
      <c r="D10" s="134"/>
      <c r="E10" s="135"/>
      <c r="F10" s="135"/>
      <c r="G10" s="136"/>
      <c r="H10" s="91" t="s">
        <v>117</v>
      </c>
      <c r="I10" s="144" t="s">
        <v>118</v>
      </c>
      <c r="J10" s="145"/>
      <c r="K10" s="146"/>
    </row>
    <row r="11" spans="2:11" x14ac:dyDescent="0.2">
      <c r="B11" s="137" t="s">
        <v>12</v>
      </c>
      <c r="C11" s="138"/>
      <c r="D11" s="138"/>
      <c r="E11" s="138"/>
      <c r="F11" s="138"/>
      <c r="G11" s="138"/>
      <c r="H11" s="138"/>
      <c r="I11" s="138"/>
      <c r="J11" s="138"/>
      <c r="K11" s="139"/>
    </row>
    <row r="12" spans="2:11" s="14" customFormat="1" ht="25.5" x14ac:dyDescent="0.2">
      <c r="B12" s="13" t="s">
        <v>13</v>
      </c>
      <c r="C12" s="13" t="s">
        <v>14</v>
      </c>
      <c r="D12" s="13" t="s">
        <v>15</v>
      </c>
      <c r="E12" s="13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124</v>
      </c>
      <c r="K12" s="13" t="s">
        <v>21</v>
      </c>
    </row>
    <row r="13" spans="2:11" x14ac:dyDescent="0.2">
      <c r="B13" s="6">
        <v>1</v>
      </c>
      <c r="C13" s="7" t="s">
        <v>126</v>
      </c>
      <c r="D13" s="31">
        <v>297500</v>
      </c>
      <c r="E13" s="31">
        <v>0</v>
      </c>
      <c r="F13" s="8">
        <f>IFERROR(resumo[[#This Row],[Recebimento]]/resumo[[#This Row],[Programado]],0)</f>
        <v>0</v>
      </c>
      <c r="G13" s="31">
        <f>IFERROR(resumo[[#This Row],[Programado]]-resumo[[#This Row],[Recebimento]],"---")</f>
        <v>297500</v>
      </c>
      <c r="H13" s="31">
        <f>total01</f>
        <v>0</v>
      </c>
      <c r="I13" s="8">
        <f>IFERROR(resumo[[#This Row],[Utilizado]]/resumo[[#This Row],[Programado]],0)</f>
        <v>0</v>
      </c>
      <c r="J13" s="105">
        <v>0</v>
      </c>
      <c r="K13" s="31">
        <f>IFERROR(resumo[[#This Row],[Recebimento]]-resumo[[#This Row],[Utilizado]]+resumo[[#This Row],[Utilização de Rendimentos]],"---")</f>
        <v>0</v>
      </c>
    </row>
    <row r="14" spans="2:11" x14ac:dyDescent="0.2">
      <c r="B14" s="6">
        <v>2</v>
      </c>
      <c r="C14" s="7" t="s">
        <v>131</v>
      </c>
      <c r="D14" s="31">
        <v>68250</v>
      </c>
      <c r="E14" s="31">
        <v>0</v>
      </c>
      <c r="F14" s="9">
        <f>IFERROR(resumo[[#This Row],[Recebimento]]/resumo[[#This Row],[Programado]],0)</f>
        <v>0</v>
      </c>
      <c r="G14" s="31">
        <f>IFERROR(resumo[[#This Row],[Programado]]-resumo[[#This Row],[Recebimento]],"---")</f>
        <v>68250</v>
      </c>
      <c r="H14" s="31">
        <f>total02</f>
        <v>0</v>
      </c>
      <c r="I14" s="9">
        <f>IFERROR(resumo[[#This Row],[Utilizado]]/resumo[[#This Row],[Programado]],0)</f>
        <v>0</v>
      </c>
      <c r="J14" s="105">
        <v>0</v>
      </c>
      <c r="K14" s="31">
        <f>IFERROR(resumo[[#This Row],[Recebimento]]-resumo[[#This Row],[Utilizado]]+resumo[[#This Row],[Utilização de Rendimentos]],"---")</f>
        <v>0</v>
      </c>
    </row>
    <row r="15" spans="2:11" x14ac:dyDescent="0.2">
      <c r="B15" s="6">
        <v>3</v>
      </c>
      <c r="C15" s="7" t="s">
        <v>132</v>
      </c>
      <c r="D15" s="31">
        <v>23127</v>
      </c>
      <c r="E15" s="31">
        <v>0</v>
      </c>
      <c r="F15" s="8">
        <f>IFERROR(resumo[[#This Row],[Recebimento]]/resumo[[#This Row],[Programado]],0)</f>
        <v>0</v>
      </c>
      <c r="G15" s="31">
        <f>IFERROR(resumo[[#This Row],[Programado]]-resumo[[#This Row],[Recebimento]],"---")</f>
        <v>23127</v>
      </c>
      <c r="H15" s="31">
        <f>'03'!I8</f>
        <v>0</v>
      </c>
      <c r="I15" s="8">
        <f>IFERROR(resumo[[#This Row],[Utilizado]]/resumo[[#This Row],[Programado]],0)</f>
        <v>0</v>
      </c>
      <c r="J15" s="105">
        <v>0</v>
      </c>
      <c r="K15" s="31">
        <f>IFERROR(resumo[[#This Row],[Recebimento]]-resumo[[#This Row],[Utilizado]]+resumo[[#This Row],[Utilização de Rendimentos]],"---")</f>
        <v>0</v>
      </c>
    </row>
    <row r="16" spans="2:11" x14ac:dyDescent="0.2">
      <c r="B16" s="6">
        <v>4</v>
      </c>
      <c r="C16" s="7" t="s">
        <v>43</v>
      </c>
      <c r="D16" s="31">
        <v>19000</v>
      </c>
      <c r="E16" s="31">
        <v>0</v>
      </c>
      <c r="F16" s="9">
        <f>IFERROR(resumo[[#This Row],[Recebimento]]/resumo[[#This Row],[Programado]],0)</f>
        <v>0</v>
      </c>
      <c r="G16" s="31">
        <f>IFERROR(resumo[[#This Row],[Programado]]-resumo[[#This Row],[Recebimento]],"---")</f>
        <v>19000</v>
      </c>
      <c r="H16" s="31">
        <f>total04</f>
        <v>0</v>
      </c>
      <c r="I16" s="8">
        <f>IFERROR(resumo[[#This Row],[Utilizado]]/resumo[[#This Row],[Programado]],0)</f>
        <v>0</v>
      </c>
      <c r="J16" s="105">
        <v>0</v>
      </c>
      <c r="K16" s="31">
        <f>IFERROR(resumo[[#This Row],[Recebimento]]-resumo[[#This Row],[Utilizado]]+resumo[[#This Row],[Utilização de Rendimentos]],"---")</f>
        <v>0</v>
      </c>
    </row>
    <row r="17" spans="2:13" x14ac:dyDescent="0.2">
      <c r="B17" s="6">
        <v>5</v>
      </c>
      <c r="C17" s="7" t="s">
        <v>133</v>
      </c>
      <c r="D17" s="31">
        <v>44612</v>
      </c>
      <c r="E17" s="31">
        <v>0</v>
      </c>
      <c r="F17" s="9">
        <f>IFERROR(resumo[[#This Row],[Recebimento]]/resumo[[#This Row],[Programado]],0)</f>
        <v>0</v>
      </c>
      <c r="G17" s="31">
        <f>IFERROR(resumo[[#This Row],[Programado]]-resumo[[#This Row],[Recebimento]],"---")</f>
        <v>44612</v>
      </c>
      <c r="H17" s="31">
        <f>'05'!total04</f>
        <v>0</v>
      </c>
      <c r="I17" s="9">
        <f>IFERROR(resumo[[#This Row],[Utilizado]]/resumo[[#This Row],[Programado]],0)</f>
        <v>0</v>
      </c>
      <c r="J17" s="105">
        <v>0</v>
      </c>
      <c r="K17" s="31">
        <f>IFERROR(resumo[[#This Row],[Recebimento]]-resumo[[#This Row],[Utilizado]]+resumo[[#This Row],[Utilização de Rendimentos]],"---")</f>
        <v>0</v>
      </c>
      <c r="M17" s="90"/>
    </row>
    <row r="18" spans="2:13" x14ac:dyDescent="0.2">
      <c r="B18" s="6">
        <v>6</v>
      </c>
      <c r="C18" s="7" t="s">
        <v>134</v>
      </c>
      <c r="D18" s="31">
        <v>47511</v>
      </c>
      <c r="E18" s="31">
        <v>0</v>
      </c>
      <c r="F18" s="9">
        <f>IFERROR(resumo[[#This Row],[Recebimento]]/resumo[[#This Row],[Programado]],0)</f>
        <v>0</v>
      </c>
      <c r="G18" s="31">
        <f>IFERROR(resumo[[#This Row],[Programado]]-resumo[[#This Row],[Recebimento]],"---")</f>
        <v>47511</v>
      </c>
      <c r="H18" s="31">
        <f>'06'!total04</f>
        <v>0</v>
      </c>
      <c r="I18" s="9">
        <f>IFERROR(resumo[[#This Row],[Utilizado]]/resumo[[#This Row],[Programado]],0)</f>
        <v>0</v>
      </c>
      <c r="J18" s="105">
        <v>0</v>
      </c>
      <c r="K18" s="31">
        <f>IFERROR(resumo[[#This Row],[Recebimento]]-resumo[[#This Row],[Utilizado]]+resumo[[#This Row],[Utilização de Rendimentos]],"---")</f>
        <v>0</v>
      </c>
    </row>
    <row r="19" spans="2:13" x14ac:dyDescent="0.2">
      <c r="B19" s="102" t="s">
        <v>33</v>
      </c>
      <c r="C19" s="7"/>
      <c r="D19" s="103">
        <f>SUBTOTAL(109,resumo[Programado])</f>
        <v>500000</v>
      </c>
      <c r="E19" s="103">
        <f>SUBTOTAL(109,resumo[Recebimento])</f>
        <v>0</v>
      </c>
      <c r="F19" s="104">
        <f>IFERROR(E19/D19,0)</f>
        <v>0</v>
      </c>
      <c r="G19" s="103">
        <f>ROUND(SUBTOTAL(109,resumo[Saldo do Programado]),2)</f>
        <v>500000</v>
      </c>
      <c r="H19" s="103">
        <f>SUBTOTAL(109,resumo[Utilizado])</f>
        <v>0</v>
      </c>
      <c r="I19" s="104">
        <f>IF(D19&lt;=0,0,H19/D19)</f>
        <v>0</v>
      </c>
      <c r="J19" s="103">
        <f>SUBTOTAL(109,resumo[Utilização de Rendimentos])</f>
        <v>0</v>
      </c>
      <c r="K19" s="103">
        <f>SUBTOTAL(109,resumo[Saldo do Recebimento])</f>
        <v>0</v>
      </c>
    </row>
    <row r="20" spans="2:13" x14ac:dyDescent="0.2">
      <c r="B20" s="120" t="s">
        <v>23</v>
      </c>
      <c r="C20" s="121"/>
      <c r="D20" s="121"/>
      <c r="E20" s="121"/>
      <c r="F20" s="121"/>
      <c r="G20" s="121"/>
      <c r="H20" s="121"/>
      <c r="I20" s="121"/>
      <c r="J20" s="121"/>
      <c r="K20" s="122"/>
    </row>
    <row r="21" spans="2:13" x14ac:dyDescent="0.2">
      <c r="B21" s="123" t="s">
        <v>24</v>
      </c>
      <c r="C21" s="124"/>
      <c r="D21" s="124"/>
      <c r="E21" s="124"/>
      <c r="F21" s="124"/>
      <c r="G21" s="124"/>
      <c r="H21" s="124"/>
      <c r="I21" s="124"/>
      <c r="J21" s="124"/>
      <c r="K21" s="125"/>
    </row>
    <row r="22" spans="2:13" x14ac:dyDescent="0.2">
      <c r="B22" s="126" t="s">
        <v>25</v>
      </c>
      <c r="C22" s="127"/>
      <c r="D22" s="127"/>
      <c r="E22" s="127"/>
      <c r="F22" s="127"/>
      <c r="G22" s="127"/>
      <c r="H22" s="127"/>
      <c r="I22" s="127"/>
      <c r="J22" s="98"/>
      <c r="K22" s="15">
        <f>resumo[[#Totals],[Recebimento]]</f>
        <v>0</v>
      </c>
    </row>
    <row r="23" spans="2:13" x14ac:dyDescent="0.2">
      <c r="B23" s="128" t="s">
        <v>26</v>
      </c>
      <c r="C23" s="129"/>
      <c r="D23" s="129"/>
      <c r="E23" s="129"/>
      <c r="F23" s="129"/>
      <c r="G23" s="129"/>
      <c r="H23" s="129"/>
      <c r="I23" s="129"/>
      <c r="J23" s="99"/>
      <c r="K23" s="16">
        <f>totalRendimentoLiquido</f>
        <v>0</v>
      </c>
    </row>
    <row r="24" spans="2:13" x14ac:dyDescent="0.2">
      <c r="B24" s="130" t="s">
        <v>27</v>
      </c>
      <c r="C24" s="131"/>
      <c r="D24" s="131"/>
      <c r="E24" s="131"/>
      <c r="F24" s="131"/>
      <c r="G24" s="131"/>
      <c r="H24" s="131"/>
      <c r="I24" s="131"/>
      <c r="J24" s="100"/>
      <c r="K24" s="2">
        <f>SUM(K22:K23)</f>
        <v>0</v>
      </c>
    </row>
    <row r="25" spans="2:13" x14ac:dyDescent="0.2">
      <c r="B25" s="123" t="s">
        <v>28</v>
      </c>
      <c r="C25" s="124"/>
      <c r="D25" s="124"/>
      <c r="E25" s="124"/>
      <c r="F25" s="124"/>
      <c r="G25" s="124"/>
      <c r="H25" s="124"/>
      <c r="I25" s="124"/>
      <c r="J25" s="124"/>
      <c r="K25" s="125"/>
    </row>
    <row r="26" spans="2:13" x14ac:dyDescent="0.2">
      <c r="B26" s="126" t="s">
        <v>29</v>
      </c>
      <c r="C26" s="127"/>
      <c r="D26" s="127"/>
      <c r="E26" s="127"/>
      <c r="F26" s="127"/>
      <c r="G26" s="127"/>
      <c r="H26" s="127"/>
      <c r="I26" s="127"/>
      <c r="J26" s="98"/>
      <c r="K26" s="15">
        <f>totalUtilizado</f>
        <v>0</v>
      </c>
    </row>
    <row r="27" spans="2:13" x14ac:dyDescent="0.2">
      <c r="B27" s="128" t="s">
        <v>30</v>
      </c>
      <c r="C27" s="129"/>
      <c r="D27" s="129"/>
      <c r="E27" s="129"/>
      <c r="F27" s="129"/>
      <c r="G27" s="129"/>
      <c r="H27" s="129"/>
      <c r="I27" s="129"/>
      <c r="J27" s="99"/>
      <c r="K27" s="16">
        <f>totalTarifasBancarias</f>
        <v>0</v>
      </c>
    </row>
    <row r="28" spans="2:13" x14ac:dyDescent="0.2">
      <c r="B28" s="130" t="s">
        <v>31</v>
      </c>
      <c r="C28" s="131"/>
      <c r="D28" s="131"/>
      <c r="E28" s="131"/>
      <c r="F28" s="131"/>
      <c r="G28" s="131"/>
      <c r="H28" s="131"/>
      <c r="I28" s="131"/>
      <c r="J28" s="100"/>
      <c r="K28" s="2">
        <f>SUM(K26:K27)</f>
        <v>0</v>
      </c>
    </row>
    <row r="29" spans="2:13" x14ac:dyDescent="0.2">
      <c r="B29" s="147" t="s">
        <v>125</v>
      </c>
      <c r="C29" s="148"/>
      <c r="D29" s="148"/>
      <c r="E29" s="148"/>
      <c r="F29" s="148"/>
      <c r="G29" s="148"/>
      <c r="H29" s="148"/>
      <c r="I29" s="148"/>
      <c r="J29" s="101"/>
      <c r="K29" s="3">
        <f>totalRecebimentos-totalDespesas</f>
        <v>0</v>
      </c>
    </row>
    <row r="32" spans="2:13" x14ac:dyDescent="0.2">
      <c r="L32" s="93"/>
    </row>
  </sheetData>
  <mergeCells count="29">
    <mergeCell ref="B26:I26"/>
    <mergeCell ref="B27:I27"/>
    <mergeCell ref="B28:I28"/>
    <mergeCell ref="B29:I29"/>
    <mergeCell ref="B25:K25"/>
    <mergeCell ref="B9:C9"/>
    <mergeCell ref="D9:G9"/>
    <mergeCell ref="B11:K11"/>
    <mergeCell ref="B6:C6"/>
    <mergeCell ref="F6:G6"/>
    <mergeCell ref="B7:C7"/>
    <mergeCell ref="D7:K7"/>
    <mergeCell ref="B8:C8"/>
    <mergeCell ref="D8:K8"/>
    <mergeCell ref="B10:C10"/>
    <mergeCell ref="D10:G10"/>
    <mergeCell ref="I9:K9"/>
    <mergeCell ref="I10:K10"/>
    <mergeCell ref="B20:K20"/>
    <mergeCell ref="B21:K21"/>
    <mergeCell ref="B22:I22"/>
    <mergeCell ref="B23:I23"/>
    <mergeCell ref="B24:I24"/>
    <mergeCell ref="B2:K2"/>
    <mergeCell ref="B3:K3"/>
    <mergeCell ref="B4:C4"/>
    <mergeCell ref="D4:K4"/>
    <mergeCell ref="B5:C5"/>
    <mergeCell ref="D5:K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H13:H18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5" workbookViewId="0">
      <selection activeCell="C10" sqref="C10:G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56.140625" style="10" bestFit="1" customWidth="1"/>
    <col min="6" max="6" width="15" style="10" bestFit="1" customWidth="1"/>
    <col min="7" max="7" width="8.5703125" style="10" bestFit="1" customWidth="1"/>
    <col min="8" max="16384" width="9.140625" style="10"/>
  </cols>
  <sheetData>
    <row r="1" spans="1:7" x14ac:dyDescent="0.2">
      <c r="A1" s="10">
        <v>4</v>
      </c>
    </row>
    <row r="2" spans="1:7" x14ac:dyDescent="0.2">
      <c r="B2" s="133" t="s">
        <v>4</v>
      </c>
      <c r="C2" s="133"/>
      <c r="D2" s="176" t="str">
        <f>Resumo!D5:K5</f>
        <v>ESTUDO APLICADO PARA FINS DE REVISÃO DO PLANO DIRETOR MUNICIPAL DE JUAZEIRO DO NORTE (PDM-JN)</v>
      </c>
      <c r="E2" s="177"/>
      <c r="F2" s="177" t="e">
        <f>Resumo!H5:O5</f>
        <v>#VALUE!</v>
      </c>
      <c r="G2" s="178"/>
    </row>
    <row r="3" spans="1:7" x14ac:dyDescent="0.2">
      <c r="B3" s="133" t="s">
        <v>9</v>
      </c>
      <c r="C3" s="133"/>
      <c r="D3" s="179" t="str">
        <f>Resumo!D8:K8</f>
        <v>DIEGO COELHO DO NASCIMENTO</v>
      </c>
      <c r="E3" s="180"/>
      <c r="F3" s="180" t="e">
        <f>Resumo!H8:O8</f>
        <v>#VALUE!</v>
      </c>
      <c r="G3" s="181"/>
    </row>
    <row r="4" spans="1:7" x14ac:dyDescent="0.2">
      <c r="B4" s="133" t="s">
        <v>5</v>
      </c>
      <c r="C4" s="133"/>
      <c r="D4" s="182" t="str">
        <f>CONCATENATE(TEXT(Resumo!H6,"dd/mm/aaa")," - ",TEXT(Resumo!I6,"dd/mm/aaa"))</f>
        <v>19/07/2021 - 30/06/2021</v>
      </c>
      <c r="E4" s="183"/>
      <c r="F4" s="183" t="str">
        <f>CONCATENATE(TEXT(Resumo!L6,"dd/mm/aaa")," - ",TEXT(Resumo!M6,"dd/mm/aaa"))</f>
        <v>00/01/1900 - 00/01/1900</v>
      </c>
      <c r="G4" s="184"/>
    </row>
    <row r="6" spans="1:7" x14ac:dyDescent="0.2">
      <c r="B6" s="171" t="s">
        <v>35</v>
      </c>
      <c r="C6" s="171"/>
      <c r="D6" s="171"/>
      <c r="E6" s="171"/>
      <c r="F6" s="171"/>
      <c r="G6" s="171"/>
    </row>
    <row r="7" spans="1:7" ht="13.5" thickBot="1" x14ac:dyDescent="0.25">
      <c r="B7" s="172" t="str">
        <f>Resumo!C16</f>
        <v>MATERIAL DE CONSUMO</v>
      </c>
      <c r="C7" s="172"/>
      <c r="D7" s="172"/>
      <c r="E7" s="172"/>
      <c r="F7" s="172"/>
      <c r="G7" s="172"/>
    </row>
    <row r="8" spans="1:7" ht="13.5" thickTop="1" x14ac:dyDescent="0.2">
      <c r="B8" s="185" t="s">
        <v>37</v>
      </c>
      <c r="C8" s="185"/>
      <c r="D8" s="185"/>
      <c r="E8" s="185"/>
      <c r="F8" s="185"/>
      <c r="G8" s="5">
        <f>SUM(tbAba04[VALOR])</f>
        <v>0</v>
      </c>
    </row>
    <row r="9" spans="1:7" x14ac:dyDescent="0.2">
      <c r="B9" s="17" t="s">
        <v>38</v>
      </c>
      <c r="C9" s="17" t="s">
        <v>39</v>
      </c>
      <c r="D9" s="17" t="s">
        <v>119</v>
      </c>
      <c r="E9" s="17" t="s">
        <v>121</v>
      </c>
      <c r="F9" s="17" t="s">
        <v>123</v>
      </c>
      <c r="G9" s="17" t="s">
        <v>41</v>
      </c>
    </row>
    <row r="10" spans="1:7" x14ac:dyDescent="0.2">
      <c r="B10" s="28">
        <f>IF(ISNUMBER(B9),B9+1,1)</f>
        <v>1</v>
      </c>
      <c r="C10" s="58"/>
      <c r="D10" s="32"/>
      <c r="E10" s="17"/>
      <c r="F10" s="17"/>
      <c r="G10" s="20"/>
    </row>
  </sheetData>
  <mergeCells count="9">
    <mergeCell ref="B6:G6"/>
    <mergeCell ref="B7:G7"/>
    <mergeCell ref="B8:F8"/>
    <mergeCell ref="B2:C2"/>
    <mergeCell ref="D2:G2"/>
    <mergeCell ref="B3:C3"/>
    <mergeCell ref="D3:G3"/>
    <mergeCell ref="B4:C4"/>
    <mergeCell ref="D4:G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opLeftCell="A5" workbookViewId="0">
      <selection activeCell="I8" sqref="I8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7" style="10" customWidth="1"/>
    <col min="6" max="6" width="12.5703125" style="10" bestFit="1" customWidth="1"/>
    <col min="7" max="7" width="56.140625" style="10" bestFit="1" customWidth="1"/>
    <col min="8" max="8" width="15" style="10" bestFit="1" customWidth="1"/>
    <col min="9" max="9" width="8.5703125" style="10" bestFit="1" customWidth="1"/>
    <col min="10" max="16384" width="9.140625" style="10"/>
  </cols>
  <sheetData>
    <row r="1" spans="1:9" x14ac:dyDescent="0.2">
      <c r="A1" s="10">
        <v>4</v>
      </c>
    </row>
    <row r="2" spans="1:9" x14ac:dyDescent="0.2">
      <c r="B2" s="133" t="s">
        <v>4</v>
      </c>
      <c r="C2" s="133"/>
      <c r="D2" s="176" t="str">
        <f>Resumo!D5:K5</f>
        <v>ESTUDO APLICADO PARA FINS DE REVISÃO DO PLANO DIRETOR MUNICIPAL DE JUAZEIRO DO NORTE (PDM-JN)</v>
      </c>
      <c r="E2" s="177"/>
      <c r="F2" s="177"/>
      <c r="G2" s="177"/>
      <c r="H2" s="177">
        <f>Resumo!H5:O5</f>
        <v>0</v>
      </c>
      <c r="I2" s="178"/>
    </row>
    <row r="3" spans="1:9" x14ac:dyDescent="0.2">
      <c r="B3" s="133" t="s">
        <v>9</v>
      </c>
      <c r="C3" s="133"/>
      <c r="D3" s="179" t="str">
        <f>Resumo!D8:K8</f>
        <v>DIEGO COELHO DO NASCIMENTO</v>
      </c>
      <c r="E3" s="180"/>
      <c r="F3" s="180"/>
      <c r="G3" s="180"/>
      <c r="H3" s="180">
        <f>Resumo!H8:O8</f>
        <v>0</v>
      </c>
      <c r="I3" s="181"/>
    </row>
    <row r="4" spans="1:9" x14ac:dyDescent="0.2">
      <c r="B4" s="133" t="s">
        <v>5</v>
      </c>
      <c r="C4" s="133"/>
      <c r="D4" s="182" t="str">
        <f>CONCATENATE(TEXT(Resumo!H6,"dd/mm/aaa")," - ",TEXT(Resumo!I6,"dd/mm/aaa"))</f>
        <v>19/07/2021 - 30/06/2021</v>
      </c>
      <c r="E4" s="183"/>
      <c r="F4" s="183"/>
      <c r="G4" s="183"/>
      <c r="H4" s="183" t="str">
        <f>CONCATENATE(TEXT(Resumo!L6,"dd/mm/aaa")," - ",TEXT(Resumo!M6,"dd/mm/aaa"))</f>
        <v>00/01/1900 - 00/01/1900</v>
      </c>
      <c r="I4" s="184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Resumo!C17</f>
        <v>MATERIAL PERMANENTE</v>
      </c>
      <c r="C7" s="172"/>
      <c r="D7" s="172"/>
      <c r="E7" s="172"/>
      <c r="F7" s="172"/>
      <c r="G7" s="172"/>
      <c r="H7" s="172"/>
      <c r="I7" s="172"/>
    </row>
    <row r="8" spans="1:9" ht="13.5" thickTop="1" x14ac:dyDescent="0.2">
      <c r="B8" s="185" t="s">
        <v>37</v>
      </c>
      <c r="C8" s="185"/>
      <c r="D8" s="185"/>
      <c r="E8" s="185"/>
      <c r="F8" s="185"/>
      <c r="G8" s="185"/>
      <c r="H8" s="185"/>
      <c r="I8" s="5">
        <f>SUM(tbAba05[VALOR])</f>
        <v>0</v>
      </c>
    </row>
    <row r="9" spans="1:9" x14ac:dyDescent="0.2">
      <c r="B9" s="17" t="s">
        <v>38</v>
      </c>
      <c r="C9" s="17" t="s">
        <v>39</v>
      </c>
      <c r="D9" s="17" t="s">
        <v>119</v>
      </c>
      <c r="E9" s="17" t="s">
        <v>120</v>
      </c>
      <c r="F9" s="17" t="s">
        <v>122</v>
      </c>
      <c r="G9" s="17" t="s">
        <v>121</v>
      </c>
      <c r="H9" s="17" t="s">
        <v>123</v>
      </c>
      <c r="I9" s="17" t="s">
        <v>41</v>
      </c>
    </row>
    <row r="10" spans="1:9" x14ac:dyDescent="0.2">
      <c r="B10" s="28">
        <f>IF(ISNUMBER(B9),B9+1,1)</f>
        <v>1</v>
      </c>
      <c r="C10" s="58"/>
      <c r="D10" s="32"/>
      <c r="E10" s="32"/>
      <c r="F10" s="107"/>
      <c r="G10" s="17"/>
      <c r="H10" s="17"/>
      <c r="I10" s="20"/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5" workbookViewId="0">
      <selection activeCell="C10" sqref="C10:G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56.140625" style="10" bestFit="1" customWidth="1"/>
    <col min="6" max="6" width="15" style="10" bestFit="1" customWidth="1"/>
    <col min="7" max="7" width="8.5703125" style="10" bestFit="1" customWidth="1"/>
    <col min="8" max="16384" width="9.140625" style="10"/>
  </cols>
  <sheetData>
    <row r="1" spans="1:7" x14ac:dyDescent="0.2">
      <c r="A1" s="10">
        <v>4</v>
      </c>
    </row>
    <row r="2" spans="1:7" x14ac:dyDescent="0.2">
      <c r="B2" s="133" t="s">
        <v>4</v>
      </c>
      <c r="C2" s="133"/>
      <c r="D2" s="176" t="str">
        <f>Resumo!D5:K5</f>
        <v>ESTUDO APLICADO PARA FINS DE REVISÃO DO PLANO DIRETOR MUNICIPAL DE JUAZEIRO DO NORTE (PDM-JN)</v>
      </c>
      <c r="E2" s="177"/>
      <c r="F2" s="177" t="e">
        <f>Resumo!H5:O5</f>
        <v>#VALUE!</v>
      </c>
      <c r="G2" s="178"/>
    </row>
    <row r="3" spans="1:7" x14ac:dyDescent="0.2">
      <c r="B3" s="133" t="s">
        <v>9</v>
      </c>
      <c r="C3" s="133"/>
      <c r="D3" s="179" t="str">
        <f>Resumo!D8:K8</f>
        <v>DIEGO COELHO DO NASCIMENTO</v>
      </c>
      <c r="E3" s="180"/>
      <c r="F3" s="180" t="e">
        <f>Resumo!H8:O8</f>
        <v>#VALUE!</v>
      </c>
      <c r="G3" s="181"/>
    </row>
    <row r="4" spans="1:7" x14ac:dyDescent="0.2">
      <c r="B4" s="133" t="s">
        <v>5</v>
      </c>
      <c r="C4" s="133"/>
      <c r="D4" s="182" t="str">
        <f>CONCATENATE(TEXT(Resumo!H6,"dd/mm/aaa")," - ",TEXT(Resumo!I6,"dd/mm/aaa"))</f>
        <v>19/07/2021 - 30/06/2021</v>
      </c>
      <c r="E4" s="183"/>
      <c r="F4" s="183" t="str">
        <f>CONCATENATE(TEXT(Resumo!L6,"dd/mm/aaa")," - ",TEXT(Resumo!M6,"dd/mm/aaa"))</f>
        <v>00/01/1900 - 00/01/1900</v>
      </c>
      <c r="G4" s="184"/>
    </row>
    <row r="6" spans="1:7" x14ac:dyDescent="0.2">
      <c r="B6" s="171" t="s">
        <v>35</v>
      </c>
      <c r="C6" s="171"/>
      <c r="D6" s="171"/>
      <c r="E6" s="171"/>
      <c r="F6" s="171"/>
      <c r="G6" s="171"/>
    </row>
    <row r="7" spans="1:7" ht="13.5" thickBot="1" x14ac:dyDescent="0.25">
      <c r="B7" s="172" t="str">
        <f>Resumo!C18</f>
        <v>DESPESAS ADMINISTRATIVAS</v>
      </c>
      <c r="C7" s="172"/>
      <c r="D7" s="172"/>
      <c r="E7" s="172"/>
      <c r="F7" s="172"/>
      <c r="G7" s="172"/>
    </row>
    <row r="8" spans="1:7" ht="13.5" thickTop="1" x14ac:dyDescent="0.2">
      <c r="B8" s="185" t="s">
        <v>37</v>
      </c>
      <c r="C8" s="185"/>
      <c r="D8" s="185"/>
      <c r="E8" s="185"/>
      <c r="F8" s="185"/>
      <c r="G8" s="5">
        <f>SUM(tbAba06[VALOR])</f>
        <v>0</v>
      </c>
    </row>
    <row r="9" spans="1:7" x14ac:dyDescent="0.2">
      <c r="B9" s="17" t="s">
        <v>38</v>
      </c>
      <c r="C9" s="17" t="s">
        <v>39</v>
      </c>
      <c r="D9" s="17" t="s">
        <v>119</v>
      </c>
      <c r="E9" s="17" t="s">
        <v>121</v>
      </c>
      <c r="F9" s="17" t="s">
        <v>123</v>
      </c>
      <c r="G9" s="17" t="s">
        <v>41</v>
      </c>
    </row>
    <row r="10" spans="1:7" x14ac:dyDescent="0.2">
      <c r="B10" s="28">
        <f>IF(ISNUMBER(B9),B9+1,1)</f>
        <v>1</v>
      </c>
      <c r="C10" s="58"/>
      <c r="D10" s="32"/>
      <c r="E10" s="17"/>
      <c r="F10" s="17"/>
      <c r="G10" s="20"/>
    </row>
  </sheetData>
  <mergeCells count="9">
    <mergeCell ref="B6:G6"/>
    <mergeCell ref="B7:G7"/>
    <mergeCell ref="B8:F8"/>
    <mergeCell ref="B2:C2"/>
    <mergeCell ref="D2:G2"/>
    <mergeCell ref="B3:C3"/>
    <mergeCell ref="D3:G3"/>
    <mergeCell ref="B4:C4"/>
    <mergeCell ref="D4:G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showRowColHeaders="0" workbookViewId="0">
      <selection activeCell="H55" sqref="H55"/>
    </sheetView>
  </sheetViews>
  <sheetFormatPr defaultRowHeight="12" x14ac:dyDescent="0.2"/>
  <cols>
    <col min="1" max="1" width="2.5703125" style="39" customWidth="1"/>
    <col min="2" max="2" width="25.28515625" style="39" bestFit="1" customWidth="1"/>
    <col min="3" max="6" width="27.85546875" style="39" customWidth="1"/>
    <col min="7" max="16384" width="9.140625" style="39"/>
  </cols>
  <sheetData>
    <row r="2" spans="2:6" x14ac:dyDescent="0.2">
      <c r="B2" s="186" t="s">
        <v>85</v>
      </c>
      <c r="C2" s="186"/>
      <c r="D2" s="186"/>
      <c r="E2" s="186"/>
      <c r="F2" s="186"/>
    </row>
    <row r="3" spans="2:6" ht="6" customHeight="1" x14ac:dyDescent="0.2"/>
    <row r="4" spans="2:6" x14ac:dyDescent="0.2">
      <c r="B4" s="40" t="s">
        <v>81</v>
      </c>
      <c r="C4" s="41" t="s">
        <v>54</v>
      </c>
      <c r="D4" s="41" t="s">
        <v>55</v>
      </c>
      <c r="E4" s="42" t="s">
        <v>84</v>
      </c>
      <c r="F4" s="42" t="s">
        <v>96</v>
      </c>
    </row>
    <row r="5" spans="2:6" x14ac:dyDescent="0.2">
      <c r="B5" s="43" t="s">
        <v>60</v>
      </c>
      <c r="C5" s="44">
        <v>6000</v>
      </c>
      <c r="D5" s="44">
        <v>2000</v>
      </c>
      <c r="E5" s="45">
        <v>3000</v>
      </c>
      <c r="F5" s="45">
        <v>1800</v>
      </c>
    </row>
    <row r="6" spans="2:6" s="49" customFormat="1" ht="6" customHeight="1" x14ac:dyDescent="0.2">
      <c r="B6" s="46" t="s">
        <v>42</v>
      </c>
      <c r="C6" s="47"/>
      <c r="D6" s="47"/>
      <c r="E6" s="48"/>
      <c r="F6" s="48"/>
    </row>
    <row r="7" spans="2:6" x14ac:dyDescent="0.2">
      <c r="B7" s="50" t="s">
        <v>61</v>
      </c>
      <c r="C7" s="51">
        <f>C5</f>
        <v>6000</v>
      </c>
      <c r="D7" s="51">
        <f>D5</f>
        <v>2000</v>
      </c>
      <c r="E7" s="52">
        <f>E5</f>
        <v>3000</v>
      </c>
      <c r="F7" s="52">
        <f>F5</f>
        <v>1800</v>
      </c>
    </row>
    <row r="8" spans="2:6" x14ac:dyDescent="0.2">
      <c r="B8" s="53" t="s">
        <v>62</v>
      </c>
      <c r="C8" s="54">
        <v>1530</v>
      </c>
      <c r="D8" s="54">
        <v>510</v>
      </c>
      <c r="E8" s="55">
        <v>765</v>
      </c>
      <c r="F8" s="55">
        <v>459</v>
      </c>
    </row>
    <row r="9" spans="2:6" x14ac:dyDescent="0.2">
      <c r="B9" s="53" t="s">
        <v>63</v>
      </c>
      <c r="C9" s="54">
        <v>480</v>
      </c>
      <c r="D9" s="54">
        <v>160</v>
      </c>
      <c r="E9" s="55">
        <v>240</v>
      </c>
      <c r="F9" s="55">
        <v>144</v>
      </c>
    </row>
    <row r="10" spans="2:6" x14ac:dyDescent="0.2">
      <c r="B10" s="53" t="s">
        <v>64</v>
      </c>
      <c r="C10" s="54">
        <v>60</v>
      </c>
      <c r="D10" s="54">
        <v>20</v>
      </c>
      <c r="E10" s="55">
        <v>30</v>
      </c>
      <c r="F10" s="55">
        <v>18</v>
      </c>
    </row>
    <row r="11" spans="2:6" x14ac:dyDescent="0.2">
      <c r="B11" s="53" t="s">
        <v>65</v>
      </c>
      <c r="C11" s="54">
        <v>230.39999999999998</v>
      </c>
      <c r="D11" s="54">
        <v>76.8</v>
      </c>
      <c r="E11" s="55">
        <v>115.19999999999999</v>
      </c>
      <c r="F11" s="55">
        <v>69.11999999999999</v>
      </c>
    </row>
    <row r="12" spans="2:6" x14ac:dyDescent="0.2">
      <c r="B12" s="53" t="s">
        <v>66</v>
      </c>
      <c r="C12" s="54">
        <v>0</v>
      </c>
      <c r="D12" s="54">
        <v>0</v>
      </c>
      <c r="E12" s="55">
        <v>0</v>
      </c>
      <c r="F12" s="55">
        <v>0</v>
      </c>
    </row>
    <row r="13" spans="2:6" x14ac:dyDescent="0.2">
      <c r="B13" s="53" t="s">
        <v>67</v>
      </c>
      <c r="C13" s="54">
        <v>580</v>
      </c>
      <c r="D13" s="54">
        <v>580</v>
      </c>
      <c r="E13" s="55">
        <v>580</v>
      </c>
      <c r="F13" s="55">
        <v>580</v>
      </c>
    </row>
    <row r="14" spans="2:6" x14ac:dyDescent="0.2">
      <c r="B14" s="53" t="s">
        <v>68</v>
      </c>
      <c r="C14" s="54">
        <f>655.6</f>
        <v>655.6</v>
      </c>
      <c r="D14" s="54">
        <v>353.94</v>
      </c>
      <c r="E14" s="55">
        <v>447.64</v>
      </c>
      <c r="F14" s="55">
        <v>500</v>
      </c>
    </row>
    <row r="15" spans="2:6" x14ac:dyDescent="0.2">
      <c r="B15" s="53" t="s">
        <v>69</v>
      </c>
      <c r="C15" s="54">
        <v>90</v>
      </c>
      <c r="D15" s="54">
        <v>30</v>
      </c>
      <c r="E15" s="55">
        <v>45</v>
      </c>
      <c r="F15" s="55">
        <v>18</v>
      </c>
    </row>
    <row r="16" spans="2:6" x14ac:dyDescent="0.2">
      <c r="B16" s="53" t="s">
        <v>70</v>
      </c>
      <c r="C16" s="54">
        <v>120</v>
      </c>
      <c r="D16" s="54">
        <v>40</v>
      </c>
      <c r="E16" s="55">
        <v>60</v>
      </c>
      <c r="F16" s="55">
        <v>18</v>
      </c>
    </row>
    <row r="17" spans="2:6" x14ac:dyDescent="0.2">
      <c r="B17" s="53" t="s">
        <v>71</v>
      </c>
      <c r="C17" s="54">
        <f>SUM(C8:C16)</f>
        <v>3746</v>
      </c>
      <c r="D17" s="54">
        <f>SUM(D8:D16)</f>
        <v>1770.74</v>
      </c>
      <c r="E17" s="55">
        <f>SUM(E8:E16)</f>
        <v>2282.84</v>
      </c>
      <c r="F17" s="55">
        <f>SUM(F8:F16)</f>
        <v>1806.12</v>
      </c>
    </row>
    <row r="18" spans="2:6" x14ac:dyDescent="0.2">
      <c r="B18" s="43" t="s">
        <v>72</v>
      </c>
      <c r="C18" s="44">
        <f>SUM(C17,C7)</f>
        <v>9746</v>
      </c>
      <c r="D18" s="44">
        <f>SUM(D17,D7)</f>
        <v>3770.74</v>
      </c>
      <c r="E18" s="45">
        <f>SUM(E17,E7)</f>
        <v>5282.84</v>
      </c>
      <c r="F18" s="45">
        <f>SUM(F17,F7)</f>
        <v>3606.12</v>
      </c>
    </row>
    <row r="19" spans="2:6" s="49" customFormat="1" ht="6" customHeight="1" x14ac:dyDescent="0.2">
      <c r="B19" s="46"/>
      <c r="C19" s="47"/>
      <c r="D19" s="47"/>
      <c r="E19" s="48"/>
      <c r="F19" s="48"/>
    </row>
    <row r="20" spans="2:6" x14ac:dyDescent="0.2">
      <c r="B20" s="50" t="s">
        <v>73</v>
      </c>
      <c r="C20" s="51"/>
      <c r="D20" s="51"/>
      <c r="E20" s="52"/>
      <c r="F20" s="52"/>
    </row>
    <row r="21" spans="2:6" x14ac:dyDescent="0.2">
      <c r="B21" s="53" t="s">
        <v>74</v>
      </c>
      <c r="C21" s="54">
        <v>666.66666666666663</v>
      </c>
      <c r="D21" s="54">
        <v>222.2222222222222</v>
      </c>
      <c r="E21" s="55">
        <v>333.33333333333331</v>
      </c>
      <c r="F21" s="55">
        <v>200</v>
      </c>
    </row>
    <row r="22" spans="2:6" x14ac:dyDescent="0.2">
      <c r="B22" s="53" t="s">
        <v>75</v>
      </c>
      <c r="C22" s="54">
        <v>500</v>
      </c>
      <c r="D22" s="54">
        <v>166.66666666666666</v>
      </c>
      <c r="E22" s="55">
        <v>250</v>
      </c>
      <c r="F22" s="55">
        <v>150</v>
      </c>
    </row>
    <row r="23" spans="2:6" x14ac:dyDescent="0.2">
      <c r="B23" s="53" t="s">
        <v>62</v>
      </c>
      <c r="C23" s="54">
        <v>297.49999999999994</v>
      </c>
      <c r="D23" s="54">
        <v>99.166666666666657</v>
      </c>
      <c r="E23" s="55">
        <v>148.74999999999997</v>
      </c>
      <c r="F23" s="55">
        <v>89.25</v>
      </c>
    </row>
    <row r="24" spans="2:6" x14ac:dyDescent="0.2">
      <c r="B24" s="53" t="s">
        <v>76</v>
      </c>
      <c r="C24" s="54">
        <v>93.333333333333329</v>
      </c>
      <c r="D24" s="54">
        <v>31.111111111111111</v>
      </c>
      <c r="E24" s="55">
        <v>46.666666666666664</v>
      </c>
      <c r="F24" s="55">
        <v>28</v>
      </c>
    </row>
    <row r="25" spans="2:6" x14ac:dyDescent="0.2">
      <c r="B25" s="53" t="s">
        <v>64</v>
      </c>
      <c r="C25" s="54">
        <v>11.666666666666666</v>
      </c>
      <c r="D25" s="54">
        <v>3.8888888888888888</v>
      </c>
      <c r="E25" s="55">
        <v>5.833333333333333</v>
      </c>
      <c r="F25" s="55">
        <v>3.5</v>
      </c>
    </row>
    <row r="26" spans="2:6" x14ac:dyDescent="0.2">
      <c r="B26" s="53" t="s">
        <v>77</v>
      </c>
      <c r="C26" s="54">
        <v>44.79999999999999</v>
      </c>
      <c r="D26" s="54">
        <v>14.93333333333333</v>
      </c>
      <c r="E26" s="55">
        <v>22.399999999999995</v>
      </c>
      <c r="F26" s="55">
        <v>13.44</v>
      </c>
    </row>
    <row r="27" spans="2:6" x14ac:dyDescent="0.2">
      <c r="B27" s="43" t="s">
        <v>78</v>
      </c>
      <c r="C27" s="44">
        <f>SUM(C21:C26)</f>
        <v>1613.9666666666665</v>
      </c>
      <c r="D27" s="44">
        <f>SUM(D21:D26)</f>
        <v>537.98888888888882</v>
      </c>
      <c r="E27" s="45">
        <f>SUM(E21:E26)</f>
        <v>806.98333333333323</v>
      </c>
      <c r="F27" s="45">
        <f>SUM(F21:F26)</f>
        <v>484.19</v>
      </c>
    </row>
    <row r="28" spans="2:6" s="49" customFormat="1" ht="6" customHeight="1" x14ac:dyDescent="0.2">
      <c r="B28" s="46"/>
      <c r="C28" s="47"/>
      <c r="D28" s="47"/>
      <c r="E28" s="48"/>
      <c r="F28" s="48"/>
    </row>
    <row r="29" spans="2:6" x14ac:dyDescent="0.2">
      <c r="B29" s="50" t="s">
        <v>80</v>
      </c>
      <c r="C29" s="51">
        <v>8088.4320000000007</v>
      </c>
      <c r="D29" s="51">
        <v>2696.1440000000002</v>
      </c>
      <c r="E29" s="52">
        <v>4044.2160000000003</v>
      </c>
      <c r="F29" s="52">
        <v>2426.5300000000002</v>
      </c>
    </row>
    <row r="30" spans="2:6" x14ac:dyDescent="0.2">
      <c r="B30" s="53" t="s">
        <v>79</v>
      </c>
      <c r="C30" s="56">
        <v>5</v>
      </c>
      <c r="D30" s="56">
        <v>4</v>
      </c>
      <c r="E30" s="57">
        <v>4</v>
      </c>
      <c r="F30" s="57">
        <v>3</v>
      </c>
    </row>
    <row r="31" spans="2:6" x14ac:dyDescent="0.2">
      <c r="B31" s="53" t="s">
        <v>83</v>
      </c>
      <c r="C31" s="54">
        <f>(C18+C27)+(C29/C30)</f>
        <v>12977.653066666668</v>
      </c>
      <c r="D31" s="54">
        <f t="shared" ref="D31:E31" si="0">(D18+D27)+(D29/D30)</f>
        <v>4982.7648888888889</v>
      </c>
      <c r="E31" s="55">
        <f t="shared" si="0"/>
        <v>7100.8773333333338</v>
      </c>
      <c r="F31" s="55">
        <f t="shared" ref="F31" si="1">(F18+F27)+(F29/F30)</f>
        <v>4899.1533333333336</v>
      </c>
    </row>
    <row r="32" spans="2:6" x14ac:dyDescent="0.2">
      <c r="B32" s="43" t="s">
        <v>82</v>
      </c>
      <c r="C32" s="44">
        <f>C31*C30</f>
        <v>64888.265333333336</v>
      </c>
      <c r="D32" s="44">
        <f t="shared" ref="D32:E32" si="2">D31*D30</f>
        <v>19931.059555555556</v>
      </c>
      <c r="E32" s="45">
        <f t="shared" si="2"/>
        <v>28403.509333333335</v>
      </c>
      <c r="F32" s="45">
        <f t="shared" ref="F32" si="3">F31*F30</f>
        <v>14697.460000000001</v>
      </c>
    </row>
    <row r="34" spans="3:6" hidden="1" x14ac:dyDescent="0.2">
      <c r="C34" s="64">
        <f>C29/C30</f>
        <v>1617.6864</v>
      </c>
      <c r="D34" s="64">
        <f>D29/D30</f>
        <v>674.03600000000006</v>
      </c>
      <c r="E34" s="64">
        <f t="shared" ref="E34:F34" si="4">E29/E30</f>
        <v>1011.0540000000001</v>
      </c>
      <c r="F34" s="64">
        <f t="shared" si="4"/>
        <v>808.84333333333336</v>
      </c>
    </row>
    <row r="35" spans="3:6" hidden="1" x14ac:dyDescent="0.2">
      <c r="C35" s="64">
        <f t="shared" ref="C35:E35" si="5">C27</f>
        <v>1613.9666666666665</v>
      </c>
      <c r="D35" s="64">
        <f>D27</f>
        <v>537.98888888888882</v>
      </c>
      <c r="E35" s="64">
        <f t="shared" si="5"/>
        <v>806.98333333333323</v>
      </c>
      <c r="F35" s="64">
        <f>F27</f>
        <v>484.19</v>
      </c>
    </row>
    <row r="36" spans="3:6" hidden="1" x14ac:dyDescent="0.2">
      <c r="C36" s="64">
        <f t="shared" ref="C36:E36" si="6">C11</f>
        <v>230.39999999999998</v>
      </c>
      <c r="D36" s="64">
        <f>D11</f>
        <v>76.8</v>
      </c>
      <c r="E36" s="64">
        <f t="shared" si="6"/>
        <v>115.19999999999999</v>
      </c>
      <c r="F36" s="64">
        <f t="shared" ref="F36" si="7">F11</f>
        <v>69.11999999999999</v>
      </c>
    </row>
    <row r="37" spans="3:6" hidden="1" x14ac:dyDescent="0.2">
      <c r="C37" s="64">
        <f t="shared" ref="C37:E38" si="8">C15</f>
        <v>90</v>
      </c>
      <c r="D37" s="64">
        <f>D15</f>
        <v>30</v>
      </c>
      <c r="E37" s="64">
        <f t="shared" si="8"/>
        <v>45</v>
      </c>
      <c r="F37" s="64">
        <f t="shared" ref="F37" si="9">F15</f>
        <v>18</v>
      </c>
    </row>
    <row r="38" spans="3:6" hidden="1" x14ac:dyDescent="0.2">
      <c r="C38" s="64">
        <f t="shared" si="8"/>
        <v>120</v>
      </c>
      <c r="D38" s="64">
        <f>D16</f>
        <v>40</v>
      </c>
      <c r="E38" s="64">
        <f t="shared" si="8"/>
        <v>60</v>
      </c>
      <c r="F38" s="64">
        <f t="shared" ref="F38" si="10">F16</f>
        <v>18</v>
      </c>
    </row>
    <row r="39" spans="3:6" hidden="1" x14ac:dyDescent="0.2">
      <c r="C39" s="64">
        <f t="shared" ref="C39" si="11">SUM(C34:C38)</f>
        <v>3672.0530666666668</v>
      </c>
      <c r="D39" s="64">
        <f>SUM(D34:D38)</f>
        <v>1358.8248888888888</v>
      </c>
      <c r="E39" s="64">
        <f t="shared" ref="E39:F39" si="12">SUM(E34:E38)</f>
        <v>2038.2373333333333</v>
      </c>
      <c r="F39" s="64">
        <f t="shared" si="12"/>
        <v>1398.1533333333332</v>
      </c>
    </row>
    <row r="40" spans="3:6" hidden="1" x14ac:dyDescent="0.2">
      <c r="C40" s="63">
        <f>C39/C5</f>
        <v>0.61200884444444448</v>
      </c>
      <c r="D40" s="63">
        <f t="shared" ref="D40:E40" si="13">D39/D5</f>
        <v>0.67941244444444437</v>
      </c>
      <c r="E40" s="63">
        <f t="shared" si="13"/>
        <v>0.67941244444444437</v>
      </c>
      <c r="F40" s="63">
        <f t="shared" ref="F40" si="14">F39/F5</f>
        <v>0.7767518518518518</v>
      </c>
    </row>
    <row r="41" spans="3:6" hidden="1" x14ac:dyDescent="0.2">
      <c r="C41" s="39">
        <v>0.61200884444444448</v>
      </c>
      <c r="D41" s="39">
        <v>0.67941244444444404</v>
      </c>
      <c r="E41" s="39">
        <v>0.67941244444444437</v>
      </c>
      <c r="F41" s="39">
        <v>0.67941244444444437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5"/>
  <sheetViews>
    <sheetView showGridLines="0" workbookViewId="0">
      <selection activeCell="L35" sqref="L35"/>
    </sheetView>
  </sheetViews>
  <sheetFormatPr defaultRowHeight="12.75" x14ac:dyDescent="0.2"/>
  <cols>
    <col min="1" max="1" width="2.85546875" style="10" customWidth="1"/>
    <col min="2" max="2" width="5.42578125" style="10" bestFit="1" customWidth="1"/>
    <col min="3" max="4" width="20.28515625" style="10" customWidth="1"/>
    <col min="5" max="7" width="17.5703125" style="10" customWidth="1"/>
    <col min="8" max="8" width="9.140625" style="10"/>
    <col min="9" max="9" width="10.5703125" style="10" hidden="1" customWidth="1"/>
    <col min="10" max="10" width="0" style="10" hidden="1" customWidth="1"/>
    <col min="11" max="11" width="9.140625" style="10"/>
    <col min="12" max="12" width="12.28515625" style="10" bestFit="1" customWidth="1"/>
    <col min="13" max="16384" width="9.140625" style="10"/>
  </cols>
  <sheetData>
    <row r="2" spans="2:12" x14ac:dyDescent="0.2">
      <c r="B2" s="108" t="s">
        <v>0</v>
      </c>
      <c r="C2" s="108"/>
      <c r="D2" s="108"/>
      <c r="E2" s="108"/>
      <c r="F2" s="108"/>
      <c r="G2" s="108"/>
    </row>
    <row r="3" spans="2:12" x14ac:dyDescent="0.2">
      <c r="B3" s="109" t="s">
        <v>1</v>
      </c>
      <c r="C3" s="109"/>
      <c r="D3" s="109"/>
      <c r="E3" s="109"/>
      <c r="F3" s="109"/>
      <c r="G3" s="109"/>
    </row>
    <row r="4" spans="2:12" ht="12.75" customHeight="1" x14ac:dyDescent="0.2">
      <c r="B4" s="110" t="s">
        <v>95</v>
      </c>
      <c r="C4" s="111"/>
      <c r="D4" s="149" t="s">
        <v>3</v>
      </c>
      <c r="E4" s="150"/>
      <c r="F4" s="150"/>
      <c r="G4" s="151"/>
    </row>
    <row r="5" spans="2:12" ht="12.75" customHeight="1" x14ac:dyDescent="0.2">
      <c r="B5" s="115" t="s">
        <v>4</v>
      </c>
      <c r="C5" s="116"/>
      <c r="D5" s="118" t="s">
        <v>57</v>
      </c>
      <c r="E5" s="152"/>
      <c r="F5" s="152"/>
      <c r="G5" s="153"/>
    </row>
    <row r="6" spans="2:12" ht="15" customHeight="1" x14ac:dyDescent="0.2">
      <c r="B6" s="132" t="s">
        <v>5</v>
      </c>
      <c r="C6" s="133"/>
      <c r="D6" s="75">
        <v>44013</v>
      </c>
      <c r="E6" s="75">
        <v>44196</v>
      </c>
      <c r="F6" s="156"/>
      <c r="G6" s="139"/>
    </row>
    <row r="7" spans="2:12" ht="15" customHeight="1" x14ac:dyDescent="0.2">
      <c r="B7" s="162" t="s">
        <v>94</v>
      </c>
      <c r="C7" s="141"/>
      <c r="D7" s="89">
        <v>44013</v>
      </c>
      <c r="E7" s="89">
        <v>44182</v>
      </c>
      <c r="F7" s="156"/>
      <c r="G7" s="139"/>
    </row>
    <row r="8" spans="2:12" ht="15" customHeight="1" x14ac:dyDescent="0.2">
      <c r="B8" s="132" t="s">
        <v>7</v>
      </c>
      <c r="C8" s="133"/>
      <c r="D8" s="134" t="s">
        <v>8</v>
      </c>
      <c r="E8" s="135"/>
      <c r="F8" s="135"/>
      <c r="G8" s="157"/>
      <c r="L8" s="86">
        <v>180258.09</v>
      </c>
    </row>
    <row r="9" spans="2:12" ht="15" customHeight="1" x14ac:dyDescent="0.2">
      <c r="B9" s="132" t="s">
        <v>9</v>
      </c>
      <c r="C9" s="133"/>
      <c r="D9" s="134" t="s">
        <v>10</v>
      </c>
      <c r="E9" s="135"/>
      <c r="F9" s="135"/>
      <c r="G9" s="157"/>
      <c r="L9" s="86">
        <v>141330.07999999999</v>
      </c>
    </row>
    <row r="10" spans="2:12" ht="15" customHeight="1" x14ac:dyDescent="0.2">
      <c r="B10" s="163" t="s">
        <v>11</v>
      </c>
      <c r="C10" s="164"/>
      <c r="D10" s="158" t="s">
        <v>32</v>
      </c>
      <c r="E10" s="159"/>
      <c r="F10" s="159"/>
      <c r="G10" s="160"/>
      <c r="L10" s="86">
        <v>69794.259999999995</v>
      </c>
    </row>
    <row r="11" spans="2:12" x14ac:dyDescent="0.2">
      <c r="B11" s="165" t="s">
        <v>12</v>
      </c>
      <c r="C11" s="166"/>
      <c r="D11" s="166"/>
      <c r="E11" s="166"/>
      <c r="F11" s="166"/>
      <c r="G11" s="167"/>
      <c r="L11" s="86">
        <f>SUM(L8:L10)</f>
        <v>391382.43</v>
      </c>
    </row>
    <row r="12" spans="2:12" s="14" customFormat="1" ht="26.25" customHeight="1" x14ac:dyDescent="0.2">
      <c r="B12" s="81" t="s">
        <v>13</v>
      </c>
      <c r="C12" s="161" t="s">
        <v>14</v>
      </c>
      <c r="D12" s="161"/>
      <c r="E12" s="84" t="s">
        <v>15</v>
      </c>
      <c r="F12" s="84" t="s">
        <v>16</v>
      </c>
      <c r="G12" s="85" t="s">
        <v>99</v>
      </c>
      <c r="I12" s="14" t="s">
        <v>92</v>
      </c>
      <c r="J12" s="14" t="s">
        <v>93</v>
      </c>
    </row>
    <row r="13" spans="2:12" x14ac:dyDescent="0.2">
      <c r="B13" s="88">
        <v>1</v>
      </c>
      <c r="C13" s="70" t="s">
        <v>100</v>
      </c>
      <c r="D13" s="70"/>
      <c r="E13" s="71">
        <v>217853.79</v>
      </c>
      <c r="F13" s="71">
        <f>L13</f>
        <v>185571.10859462753</v>
      </c>
      <c r="G13" s="72">
        <f>IFERROR('Resumo (2)'!$E13-'Resumo (2)'!$F13,"---")</f>
        <v>32282.681405372481</v>
      </c>
      <c r="I13" s="10">
        <f>SUMIF(orcamento[Rubrica],'Resumo (2)'!$C13,orcamento[Valor Programado])</f>
        <v>0</v>
      </c>
      <c r="J13" s="10" t="e">
        <f>SUMIF(#REF!,'Resumo (2)'!$C13,#REF!)</f>
        <v>#REF!</v>
      </c>
      <c r="K13" s="10">
        <f>E13/$E$29</f>
        <v>0.47414266551165191</v>
      </c>
      <c r="L13" s="87">
        <f>$L$11*K13</f>
        <v>185571.10859462753</v>
      </c>
    </row>
    <row r="14" spans="2:12" x14ac:dyDescent="0.2">
      <c r="B14" s="59">
        <v>2</v>
      </c>
      <c r="C14" s="76" t="s">
        <v>101</v>
      </c>
      <c r="D14" s="76"/>
      <c r="E14" s="77">
        <v>114666.53</v>
      </c>
      <c r="F14" s="77">
        <f t="shared" ref="F14:F28" si="0">L14</f>
        <v>97674.661022877364</v>
      </c>
      <c r="G14" s="73">
        <f>IFERROR('Resumo (2)'!$E14-'Resumo (2)'!$F14,"---")</f>
        <v>16991.868977122635</v>
      </c>
      <c r="I14" s="10">
        <f>SUMIF(orcamento[Rubrica],'Resumo (2)'!$C14,orcamento[Valor Programado])</f>
        <v>0</v>
      </c>
      <c r="J14" s="10" t="e">
        <f>SUMIF(#REF!,'Resumo (2)'!$C14,#REF!)</f>
        <v>#REF!</v>
      </c>
      <c r="K14" s="10">
        <f t="shared" ref="K14:K28" si="1">E14/$E$29</f>
        <v>0.24956322393643826</v>
      </c>
      <c r="L14" s="87">
        <f t="shared" ref="L14:L28" si="2">$L$11*K14</f>
        <v>97674.661022877364</v>
      </c>
    </row>
    <row r="15" spans="2:12" x14ac:dyDescent="0.2">
      <c r="B15" s="65">
        <v>3</v>
      </c>
      <c r="C15" s="78" t="s">
        <v>106</v>
      </c>
      <c r="D15" s="78"/>
      <c r="E15" s="79">
        <v>0</v>
      </c>
      <c r="F15" s="79">
        <f t="shared" si="0"/>
        <v>0</v>
      </c>
      <c r="G15" s="74">
        <f>IFERROR('Resumo (2)'!$E15-'Resumo (2)'!$F15,"---")</f>
        <v>0</v>
      </c>
      <c r="I15" s="10">
        <f>SUMIF(orcamento[Rubrica],'Resumo (2)'!$C15,orcamento[Valor Programado])</f>
        <v>0</v>
      </c>
      <c r="J15" s="10" t="e">
        <f>SUMIF(#REF!,'Resumo (2)'!$C15,#REF!)</f>
        <v>#REF!</v>
      </c>
      <c r="K15" s="10">
        <f t="shared" si="1"/>
        <v>0</v>
      </c>
      <c r="L15" s="87">
        <f t="shared" si="2"/>
        <v>0</v>
      </c>
    </row>
    <row r="16" spans="2:12" x14ac:dyDescent="0.2">
      <c r="B16" s="59">
        <v>4</v>
      </c>
      <c r="C16" s="76" t="s">
        <v>102</v>
      </c>
      <c r="D16" s="76"/>
      <c r="E16" s="77">
        <v>1500</v>
      </c>
      <c r="F16" s="77">
        <f t="shared" si="0"/>
        <v>1277.7223792707084</v>
      </c>
      <c r="G16" s="73">
        <f>IFERROR('Resumo (2)'!$E16-'Resumo (2)'!$F16,"---")</f>
        <v>222.27762072929158</v>
      </c>
      <c r="I16" s="10">
        <f>SUMIF(orcamento[Rubrica],'Resumo (2)'!$C16,orcamento[Valor Programado])</f>
        <v>0</v>
      </c>
      <c r="J16" s="10" t="e">
        <f>SUMIF(#REF!,'Resumo (2)'!$C16,#REF!)</f>
        <v>#REF!</v>
      </c>
      <c r="K16" s="10">
        <f t="shared" si="1"/>
        <v>3.2646390878372043E-3</v>
      </c>
      <c r="L16" s="87">
        <f t="shared" si="2"/>
        <v>1277.7223792707084</v>
      </c>
    </row>
    <row r="17" spans="2:12" x14ac:dyDescent="0.2">
      <c r="B17" s="65">
        <v>5</v>
      </c>
      <c r="C17" s="78" t="s">
        <v>103</v>
      </c>
      <c r="D17" s="78"/>
      <c r="E17" s="79">
        <v>0</v>
      </c>
      <c r="F17" s="79">
        <f t="shared" si="0"/>
        <v>0</v>
      </c>
      <c r="G17" s="74">
        <f>IFERROR('Resumo (2)'!$E17-'Resumo (2)'!$F17,"---")</f>
        <v>0</v>
      </c>
      <c r="I17" s="10">
        <f>SUMIF(orcamento[Rubrica],'Resumo (2)'!$C17,orcamento[Valor Programado])</f>
        <v>0</v>
      </c>
      <c r="J17" s="10" t="e">
        <f>SUMIF(#REF!,'Resumo (2)'!$C17,#REF!)</f>
        <v>#REF!</v>
      </c>
      <c r="K17" s="10">
        <f t="shared" si="1"/>
        <v>0</v>
      </c>
      <c r="L17" s="87">
        <f t="shared" si="2"/>
        <v>0</v>
      </c>
    </row>
    <row r="18" spans="2:12" x14ac:dyDescent="0.2">
      <c r="B18" s="59">
        <v>6</v>
      </c>
      <c r="C18" s="76" t="s">
        <v>104</v>
      </c>
      <c r="D18" s="76"/>
      <c r="E18" s="77">
        <v>0</v>
      </c>
      <c r="F18" s="77">
        <f t="shared" si="0"/>
        <v>0</v>
      </c>
      <c r="G18" s="73">
        <f>IFERROR('Resumo (2)'!$E18-'Resumo (2)'!$F18,"---")</f>
        <v>0</v>
      </c>
      <c r="I18" s="10">
        <f>SUMIF(orcamento[Rubrica],'Resumo (2)'!$C18,orcamento[Valor Programado])</f>
        <v>0</v>
      </c>
      <c r="J18" s="10" t="e">
        <f>SUMIF(#REF!,'Resumo (2)'!$C18,#REF!)</f>
        <v>#REF!</v>
      </c>
      <c r="K18" s="10">
        <f t="shared" si="1"/>
        <v>0</v>
      </c>
      <c r="L18" s="87">
        <f t="shared" si="2"/>
        <v>0</v>
      </c>
    </row>
    <row r="19" spans="2:12" x14ac:dyDescent="0.2">
      <c r="B19" s="65">
        <v>7</v>
      </c>
      <c r="C19" s="78" t="s">
        <v>107</v>
      </c>
      <c r="D19" s="78"/>
      <c r="E19" s="79">
        <v>38020</v>
      </c>
      <c r="F19" s="79">
        <f t="shared" si="0"/>
        <v>32386.003239914888</v>
      </c>
      <c r="G19" s="74">
        <f>IFERROR('Resumo (2)'!$E19-'Resumo (2)'!$F19,"---")</f>
        <v>5633.9967600851123</v>
      </c>
      <c r="I19" s="10">
        <f>SUMIF(orcamento[Rubrica],'Resumo (2)'!$C19,orcamento[Valor Programado])</f>
        <v>0</v>
      </c>
      <c r="J19" s="10" t="e">
        <f>SUMIF(#REF!,'Resumo (2)'!$C19,#REF!)</f>
        <v>#REF!</v>
      </c>
      <c r="K19" s="10">
        <f t="shared" si="1"/>
        <v>8.274771874638033E-2</v>
      </c>
      <c r="L19" s="87">
        <f t="shared" si="2"/>
        <v>32386.003239914888</v>
      </c>
    </row>
    <row r="20" spans="2:12" x14ac:dyDescent="0.2">
      <c r="B20" s="59">
        <v>8</v>
      </c>
      <c r="C20" s="76" t="s">
        <v>108</v>
      </c>
      <c r="D20" s="76"/>
      <c r="E20" s="77">
        <v>1800</v>
      </c>
      <c r="F20" s="77">
        <f t="shared" si="0"/>
        <v>1533.2668551248503</v>
      </c>
      <c r="G20" s="73">
        <f>IFERROR('Resumo (2)'!$E20-'Resumo (2)'!$F20,"---")</f>
        <v>266.73314487514972</v>
      </c>
      <c r="I20" s="10">
        <f>SUMIF(orcamento[Rubrica],'Resumo (2)'!$C20,orcamento[Valor Programado])</f>
        <v>0</v>
      </c>
      <c r="J20" s="10" t="e">
        <f>SUMIF(#REF!,'Resumo (2)'!$C20,#REF!)</f>
        <v>#REF!</v>
      </c>
      <c r="K20" s="10">
        <f t="shared" si="1"/>
        <v>3.9175669054046453E-3</v>
      </c>
      <c r="L20" s="87">
        <f t="shared" si="2"/>
        <v>1533.2668551248503</v>
      </c>
    </row>
    <row r="21" spans="2:12" x14ac:dyDescent="0.2">
      <c r="B21" s="65">
        <v>9</v>
      </c>
      <c r="C21" s="78" t="s">
        <v>109</v>
      </c>
      <c r="D21" s="78"/>
      <c r="E21" s="79">
        <v>0</v>
      </c>
      <c r="F21" s="79">
        <f t="shared" si="0"/>
        <v>0</v>
      </c>
      <c r="G21" s="74">
        <f>IFERROR('Resumo (2)'!$E21-'Resumo (2)'!$F21,"---")</f>
        <v>0</v>
      </c>
      <c r="I21" s="10">
        <f>SUMIF(orcamento[Rubrica],'Resumo (2)'!$C21,orcamento[Valor Programado])</f>
        <v>0</v>
      </c>
      <c r="J21" s="10" t="e">
        <f>SUMIF(#REF!,'Resumo (2)'!$C21,#REF!)</f>
        <v>#REF!</v>
      </c>
      <c r="K21" s="10">
        <f t="shared" si="1"/>
        <v>0</v>
      </c>
      <c r="L21" s="87">
        <f t="shared" si="2"/>
        <v>0</v>
      </c>
    </row>
    <row r="22" spans="2:12" x14ac:dyDescent="0.2">
      <c r="B22" s="59">
        <v>10</v>
      </c>
      <c r="C22" s="76" t="s">
        <v>110</v>
      </c>
      <c r="D22" s="76"/>
      <c r="E22" s="77">
        <v>0</v>
      </c>
      <c r="F22" s="77">
        <f t="shared" si="0"/>
        <v>0</v>
      </c>
      <c r="G22" s="73">
        <f>IFERROR('Resumo (2)'!$E22-'Resumo (2)'!$F22,"---")</f>
        <v>0</v>
      </c>
      <c r="I22" s="10">
        <f>SUMIF(orcamento[Rubrica],'Resumo (2)'!$C22,orcamento[Valor Programado])</f>
        <v>0</v>
      </c>
      <c r="J22" s="10" t="e">
        <f>SUMIF(#REF!,'Resumo (2)'!$C22,#REF!)</f>
        <v>#REF!</v>
      </c>
      <c r="K22" s="10">
        <f t="shared" si="1"/>
        <v>0</v>
      </c>
      <c r="L22" s="87">
        <f t="shared" si="2"/>
        <v>0</v>
      </c>
    </row>
    <row r="23" spans="2:12" x14ac:dyDescent="0.2">
      <c r="B23" s="65">
        <v>11</v>
      </c>
      <c r="C23" s="78" t="s">
        <v>114</v>
      </c>
      <c r="D23" s="78"/>
      <c r="E23" s="79">
        <v>1800</v>
      </c>
      <c r="F23" s="79">
        <f t="shared" si="0"/>
        <v>1533.2668551248503</v>
      </c>
      <c r="G23" s="74">
        <f>IFERROR('Resumo (2)'!$E23-'Resumo (2)'!$F23,"---")</f>
        <v>266.73314487514972</v>
      </c>
      <c r="I23" s="10">
        <f>SUMIF(orcamento[Rubrica],'Resumo (2)'!$C23,orcamento[Valor Programado])</f>
        <v>0</v>
      </c>
      <c r="J23" s="10" t="e">
        <f>SUMIF(#REF!,'Resumo (2)'!$C23,#REF!)</f>
        <v>#REF!</v>
      </c>
      <c r="K23" s="10">
        <f t="shared" si="1"/>
        <v>3.9175669054046453E-3</v>
      </c>
      <c r="L23" s="87">
        <f t="shared" si="2"/>
        <v>1533.2668551248503</v>
      </c>
    </row>
    <row r="24" spans="2:12" x14ac:dyDescent="0.2">
      <c r="B24" s="59">
        <v>12</v>
      </c>
      <c r="C24" s="76" t="s">
        <v>111</v>
      </c>
      <c r="D24" s="76"/>
      <c r="E24" s="77">
        <v>500</v>
      </c>
      <c r="F24" s="77">
        <f t="shared" si="0"/>
        <v>425.90745975690282</v>
      </c>
      <c r="G24" s="73">
        <f>IFERROR('Resumo (2)'!$E24-'Resumo (2)'!$F24,"---")</f>
        <v>74.092540243097176</v>
      </c>
      <c r="I24" s="10">
        <f>SUMIF(orcamento[Rubrica],'Resumo (2)'!$C24,orcamento[Valor Programado])</f>
        <v>0</v>
      </c>
      <c r="J24" s="10" t="e">
        <f>SUMIF(#REF!,'Resumo (2)'!$C24,#REF!)</f>
        <v>#REF!</v>
      </c>
      <c r="K24" s="10">
        <f t="shared" si="1"/>
        <v>1.0882130292790681E-3</v>
      </c>
      <c r="L24" s="87">
        <f t="shared" si="2"/>
        <v>425.90745975690282</v>
      </c>
    </row>
    <row r="25" spans="2:12" x14ac:dyDescent="0.2">
      <c r="B25" s="65">
        <v>13</v>
      </c>
      <c r="C25" s="78" t="s">
        <v>112</v>
      </c>
      <c r="D25" s="78"/>
      <c r="E25" s="79">
        <v>1000</v>
      </c>
      <c r="F25" s="79">
        <f t="shared" si="0"/>
        <v>851.81491951380565</v>
      </c>
      <c r="G25" s="74">
        <f>IFERROR('Resumo (2)'!$E25-'Resumo (2)'!$F25,"---")</f>
        <v>148.18508048619435</v>
      </c>
      <c r="I25" s="10">
        <f>SUMIF(orcamento[Rubrica],'Resumo (2)'!$C25,orcamento[Valor Programado])</f>
        <v>0</v>
      </c>
      <c r="J25" s="10" t="e">
        <f>SUMIF(#REF!,'Resumo (2)'!$C25,#REF!)</f>
        <v>#REF!</v>
      </c>
      <c r="K25" s="10">
        <f t="shared" si="1"/>
        <v>2.1764260585581362E-3</v>
      </c>
      <c r="L25" s="87">
        <f t="shared" si="2"/>
        <v>851.81491951380565</v>
      </c>
    </row>
    <row r="26" spans="2:12" x14ac:dyDescent="0.2">
      <c r="B26" s="59">
        <v>14</v>
      </c>
      <c r="C26" s="76" t="s">
        <v>115</v>
      </c>
      <c r="D26" s="76"/>
      <c r="E26" s="77">
        <v>0</v>
      </c>
      <c r="F26" s="77">
        <f t="shared" si="0"/>
        <v>0</v>
      </c>
      <c r="G26" s="73">
        <f>IFERROR('Resumo (2)'!$E26-'Resumo (2)'!$F26,"---")</f>
        <v>0</v>
      </c>
      <c r="I26" s="10">
        <f>SUMIF(orcamento[Rubrica],'Resumo (2)'!$C26,orcamento[Valor Programado])</f>
        <v>0</v>
      </c>
      <c r="J26" s="10" t="e">
        <f>SUMIF(#REF!,'Resumo (2)'!$C26,#REF!)</f>
        <v>#REF!</v>
      </c>
      <c r="K26" s="10">
        <f t="shared" si="1"/>
        <v>0</v>
      </c>
      <c r="L26" s="87">
        <f t="shared" si="2"/>
        <v>0</v>
      </c>
    </row>
    <row r="27" spans="2:12" x14ac:dyDescent="0.2">
      <c r="B27" s="65">
        <v>15</v>
      </c>
      <c r="C27" s="78" t="s">
        <v>105</v>
      </c>
      <c r="D27" s="78"/>
      <c r="E27" s="79">
        <v>3300</v>
      </c>
      <c r="F27" s="79">
        <f t="shared" si="0"/>
        <v>2810.9892343955585</v>
      </c>
      <c r="G27" s="74">
        <f>IFERROR('Resumo (2)'!$E27-'Resumo (2)'!$F27,"---")</f>
        <v>489.01076560444153</v>
      </c>
      <c r="I27" s="10">
        <f>SUMIF(orcamento[Rubrica],'Resumo (2)'!$C27,orcamento[Valor Programado])</f>
        <v>0</v>
      </c>
      <c r="J27" s="10" t="e">
        <f>SUMIF(#REF!,'Resumo (2)'!$C27,#REF!)</f>
        <v>#REF!</v>
      </c>
      <c r="K27" s="10">
        <f t="shared" si="1"/>
        <v>7.1822059932418487E-3</v>
      </c>
      <c r="L27" s="87">
        <f t="shared" si="2"/>
        <v>2810.9892343955585</v>
      </c>
    </row>
    <row r="28" spans="2:12" x14ac:dyDescent="0.2">
      <c r="B28" s="59">
        <v>16</v>
      </c>
      <c r="C28" s="76" t="s">
        <v>113</v>
      </c>
      <c r="D28" s="76"/>
      <c r="E28" s="77">
        <v>79028.539999999994</v>
      </c>
      <c r="F28" s="77">
        <f t="shared" si="0"/>
        <v>67317.689439393551</v>
      </c>
      <c r="G28" s="73">
        <f>IFERROR('Resumo (2)'!$E28-'Resumo (2)'!$F28,"---")</f>
        <v>11710.850560606443</v>
      </c>
      <c r="I28" s="10">
        <f>SUMIF(orcamento[Rubrica],'Resumo (2)'!$C28,orcamento[Valor Programado])</f>
        <v>0</v>
      </c>
      <c r="J28" s="10" t="e">
        <f>SUMIF(#REF!,'Resumo (2)'!$C28,#REF!)</f>
        <v>#REF!</v>
      </c>
      <c r="K28" s="10">
        <f t="shared" si="1"/>
        <v>0.17199977382580398</v>
      </c>
      <c r="L28" s="87">
        <f t="shared" si="2"/>
        <v>67317.689439393551</v>
      </c>
    </row>
    <row r="29" spans="2:12" ht="15" x14ac:dyDescent="0.25">
      <c r="B29" s="66" t="s">
        <v>33</v>
      </c>
      <c r="C29" s="67"/>
      <c r="D29" s="80"/>
      <c r="E29" s="68">
        <f>SUM(E13:E28)</f>
        <v>459468.86</v>
      </c>
      <c r="F29" s="68">
        <f>SUBTOTAL(109,'Resumo (2)'!$F$13:$F$28)</f>
        <v>391382.43000000005</v>
      </c>
      <c r="G29" s="69">
        <f>SUBTOTAL(109,'Resumo (2)'!$G$13:$G$28)</f>
        <v>68086.429999999993</v>
      </c>
    </row>
    <row r="36" spans="5:7" ht="15" x14ac:dyDescent="0.25">
      <c r="F36"/>
      <c r="G36" s="82"/>
    </row>
    <row r="37" spans="5:7" ht="15" x14ac:dyDescent="0.25">
      <c r="F37"/>
      <c r="G37" s="82"/>
    </row>
    <row r="38" spans="5:7" ht="16.5" x14ac:dyDescent="0.3">
      <c r="E38" s="154" t="s">
        <v>97</v>
      </c>
      <c r="F38" s="154"/>
      <c r="G38" s="154"/>
    </row>
    <row r="39" spans="5:7" ht="16.5" x14ac:dyDescent="0.3">
      <c r="E39" s="155" t="s">
        <v>98</v>
      </c>
      <c r="F39" s="155"/>
      <c r="G39" s="155"/>
    </row>
    <row r="40" spans="5:7" ht="15" x14ac:dyDescent="0.25">
      <c r="E40" s="83"/>
      <c r="F40" s="83"/>
      <c r="G40" s="83"/>
    </row>
    <row r="41" spans="5:7" ht="15" x14ac:dyDescent="0.25">
      <c r="E41" s="83"/>
      <c r="F41" s="83"/>
      <c r="G41" s="83"/>
    </row>
    <row r="42" spans="5:7" ht="15" x14ac:dyDescent="0.25">
      <c r="E42" s="83"/>
      <c r="F42" s="83"/>
      <c r="G42" s="83"/>
    </row>
    <row r="43" spans="5:7" ht="15" x14ac:dyDescent="0.25">
      <c r="E43" s="83"/>
      <c r="F43" s="83"/>
      <c r="G43" s="83"/>
    </row>
    <row r="44" spans="5:7" ht="15" x14ac:dyDescent="0.25">
      <c r="E44" s="83"/>
      <c r="F44" s="83"/>
      <c r="G44" s="83"/>
    </row>
    <row r="45" spans="5:7" ht="15" x14ac:dyDescent="0.25">
      <c r="E45" s="83"/>
      <c r="F45" s="83"/>
      <c r="G45" s="83"/>
    </row>
    <row r="53" spans="2:7" ht="15" customHeight="1" x14ac:dyDescent="0.2">
      <c r="B53" s="169"/>
      <c r="C53" s="169"/>
      <c r="D53" s="169"/>
      <c r="E53" s="168"/>
      <c r="F53" s="168"/>
      <c r="G53" s="168"/>
    </row>
    <row r="54" spans="2:7" ht="15" customHeight="1" x14ac:dyDescent="0.2">
      <c r="B54" s="169"/>
      <c r="C54" s="169"/>
      <c r="D54" s="169"/>
      <c r="E54" s="168"/>
      <c r="F54" s="168"/>
      <c r="G54" s="168"/>
    </row>
    <row r="55" spans="2:7" ht="15" customHeight="1" x14ac:dyDescent="0.2">
      <c r="B55" s="169"/>
      <c r="C55" s="169"/>
      <c r="D55" s="169"/>
      <c r="E55" s="168"/>
      <c r="F55" s="168"/>
      <c r="G55" s="168"/>
    </row>
  </sheetData>
  <mergeCells count="25">
    <mergeCell ref="E53:G53"/>
    <mergeCell ref="E54:G54"/>
    <mergeCell ref="E55:G55"/>
    <mergeCell ref="B53:D53"/>
    <mergeCell ref="B54:D54"/>
    <mergeCell ref="B55:D55"/>
    <mergeCell ref="E38:G38"/>
    <mergeCell ref="E39:G39"/>
    <mergeCell ref="F6:G7"/>
    <mergeCell ref="D8:G8"/>
    <mergeCell ref="D9:G9"/>
    <mergeCell ref="D10:G10"/>
    <mergeCell ref="C12:D12"/>
    <mergeCell ref="B7:C7"/>
    <mergeCell ref="B10:C10"/>
    <mergeCell ref="B11:G11"/>
    <mergeCell ref="B6:C6"/>
    <mergeCell ref="B8:C8"/>
    <mergeCell ref="B9:C9"/>
    <mergeCell ref="B2:G2"/>
    <mergeCell ref="B3:G3"/>
    <mergeCell ref="B4:C4"/>
    <mergeCell ref="B5:C5"/>
    <mergeCell ref="D4:G4"/>
    <mergeCell ref="D5:G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showGridLines="0" zoomScale="90" zoomScaleNormal="90" workbookViewId="0">
      <selection activeCell="C4" sqref="C4"/>
    </sheetView>
  </sheetViews>
  <sheetFormatPr defaultRowHeight="15" x14ac:dyDescent="0.25"/>
  <cols>
    <col min="1" max="1" width="3" customWidth="1"/>
    <col min="2" max="2" width="5.28515625" customWidth="1"/>
    <col min="3" max="3" width="14.28515625" bestFit="1" customWidth="1"/>
    <col min="4" max="4" width="8.5703125" bestFit="1" customWidth="1"/>
    <col min="5" max="5" width="120" style="30" bestFit="1" customWidth="1"/>
    <col min="6" max="6" width="9.140625" customWidth="1"/>
    <col min="7" max="7" width="15.42578125" customWidth="1"/>
    <col min="8" max="8" width="19" customWidth="1"/>
    <col min="9" max="10" width="11.28515625" bestFit="1" customWidth="1"/>
  </cols>
  <sheetData>
    <row r="2" spans="2:10" x14ac:dyDescent="0.25">
      <c r="B2" s="33" t="s">
        <v>86</v>
      </c>
      <c r="C2" s="33" t="s">
        <v>14</v>
      </c>
      <c r="D2" s="33" t="s">
        <v>51</v>
      </c>
      <c r="E2" s="33" t="s">
        <v>87</v>
      </c>
      <c r="F2" s="33" t="s">
        <v>88</v>
      </c>
      <c r="G2" s="33" t="s">
        <v>89</v>
      </c>
      <c r="H2" s="33" t="s">
        <v>90</v>
      </c>
      <c r="I2" s="33" t="s">
        <v>19</v>
      </c>
      <c r="J2" s="33" t="s">
        <v>91</v>
      </c>
    </row>
    <row r="3" spans="2:10" x14ac:dyDescent="0.25">
      <c r="B3" s="33">
        <v>1</v>
      </c>
      <c r="C3" s="33" t="s">
        <v>126</v>
      </c>
      <c r="D3" s="33"/>
      <c r="E3" s="34" t="s">
        <v>135</v>
      </c>
      <c r="F3" s="38">
        <v>15</v>
      </c>
      <c r="G3" s="35">
        <v>1100</v>
      </c>
      <c r="H3" s="35">
        <f t="shared" ref="H3" si="0">G3*F3</f>
        <v>16500</v>
      </c>
      <c r="I3" s="36">
        <f>SUMIF(tbAba06[ÍTEM],orcamento[[#This Row],[N°]],tbAba06[VALOR])</f>
        <v>0</v>
      </c>
      <c r="J3" s="36">
        <f>orcamento[[#This Row],[Valor Programado]]-orcamento[[#This Row],[Utilizado]]</f>
        <v>16500</v>
      </c>
    </row>
    <row r="4" spans="2:10" x14ac:dyDescent="0.25">
      <c r="B4" s="33">
        <v>2</v>
      </c>
      <c r="C4" s="33" t="s">
        <v>126</v>
      </c>
      <c r="D4" s="33"/>
      <c r="E4" s="34" t="s">
        <v>136</v>
      </c>
      <c r="F4" s="38">
        <v>4</v>
      </c>
      <c r="G4" s="35">
        <v>1250</v>
      </c>
      <c r="H4" s="35">
        <f t="shared" ref="H4:H9" si="1">G4*F4</f>
        <v>5000</v>
      </c>
      <c r="I4" s="36">
        <f>SUMIF(tbAba06[ÍTEM],orcamento[[#This Row],[N°]],tbAba06[VALOR])</f>
        <v>0</v>
      </c>
      <c r="J4" s="36">
        <f>orcamento[[#This Row],[Valor Programado]]-orcamento[[#This Row],[Utilizado]]</f>
        <v>5000</v>
      </c>
    </row>
    <row r="5" spans="2:10" x14ac:dyDescent="0.25">
      <c r="B5" s="33">
        <v>3</v>
      </c>
      <c r="C5" s="33" t="s">
        <v>126</v>
      </c>
      <c r="D5" s="33"/>
      <c r="E5" s="34" t="s">
        <v>137</v>
      </c>
      <c r="F5" s="38">
        <v>15</v>
      </c>
      <c r="G5" s="35">
        <v>2200</v>
      </c>
      <c r="H5" s="35">
        <f t="shared" si="1"/>
        <v>33000</v>
      </c>
      <c r="I5" s="36">
        <f>SUMIF(tbAba06[ÍTEM],orcamento[[#This Row],[N°]],tbAba06[VALOR])</f>
        <v>0</v>
      </c>
      <c r="J5" s="36">
        <f>orcamento[[#This Row],[Valor Programado]]-orcamento[[#This Row],[Utilizado]]</f>
        <v>33000</v>
      </c>
    </row>
    <row r="6" spans="2:10" x14ac:dyDescent="0.25">
      <c r="B6" s="33">
        <v>4</v>
      </c>
      <c r="C6" s="33" t="s">
        <v>126</v>
      </c>
      <c r="D6" s="33"/>
      <c r="E6" s="34" t="s">
        <v>138</v>
      </c>
      <c r="F6" s="38">
        <v>15</v>
      </c>
      <c r="G6" s="35">
        <v>2200</v>
      </c>
      <c r="H6" s="35">
        <f t="shared" si="1"/>
        <v>33000</v>
      </c>
      <c r="I6" s="36">
        <f>SUMIF(tbAba06[ÍTEM],orcamento[[#This Row],[N°]],tbAba06[VALOR])</f>
        <v>0</v>
      </c>
      <c r="J6" s="36">
        <f>orcamento[[#This Row],[Valor Programado]]-orcamento[[#This Row],[Utilizado]]</f>
        <v>33000</v>
      </c>
    </row>
    <row r="7" spans="2:10" x14ac:dyDescent="0.25">
      <c r="B7" s="33">
        <v>5</v>
      </c>
      <c r="C7" s="33" t="s">
        <v>126</v>
      </c>
      <c r="D7" s="33"/>
      <c r="E7" s="34" t="s">
        <v>139</v>
      </c>
      <c r="F7" s="38">
        <v>15</v>
      </c>
      <c r="G7" s="35">
        <v>2200</v>
      </c>
      <c r="H7" s="35">
        <f t="shared" si="1"/>
        <v>33000</v>
      </c>
      <c r="I7" s="36">
        <f>SUMIF(tbAba06[ÍTEM],orcamento[[#This Row],[N°]],tbAba06[VALOR])</f>
        <v>0</v>
      </c>
      <c r="J7" s="36">
        <f>orcamento[[#This Row],[Valor Programado]]-orcamento[[#This Row],[Utilizado]]</f>
        <v>33000</v>
      </c>
    </row>
    <row r="8" spans="2:10" x14ac:dyDescent="0.25">
      <c r="B8" s="33">
        <v>6</v>
      </c>
      <c r="C8" s="33" t="s">
        <v>126</v>
      </c>
      <c r="D8" s="33"/>
      <c r="E8" s="34" t="s">
        <v>140</v>
      </c>
      <c r="F8" s="38">
        <v>15</v>
      </c>
      <c r="G8" s="35">
        <v>2200</v>
      </c>
      <c r="H8" s="35">
        <f t="shared" si="1"/>
        <v>33000</v>
      </c>
      <c r="I8" s="36">
        <f>SUMIF(tbAba06[ÍTEM],orcamento[[#This Row],[N°]],tbAba06[VALOR])</f>
        <v>0</v>
      </c>
      <c r="J8" s="36">
        <f>orcamento[[#This Row],[Valor Programado]]-orcamento[[#This Row],[Utilizado]]</f>
        <v>33000</v>
      </c>
    </row>
    <row r="9" spans="2:10" x14ac:dyDescent="0.25">
      <c r="B9" s="33">
        <v>7</v>
      </c>
      <c r="C9" s="33" t="s">
        <v>126</v>
      </c>
      <c r="D9" s="33"/>
      <c r="E9" s="34" t="s">
        <v>141</v>
      </c>
      <c r="F9" s="38">
        <v>4</v>
      </c>
      <c r="G9" s="35">
        <v>1250</v>
      </c>
      <c r="H9" s="35">
        <f t="shared" si="1"/>
        <v>5000</v>
      </c>
      <c r="I9" s="36">
        <f>SUMIF(tbAba06[ÍTEM],orcamento[[#This Row],[N°]],tbAba06[VALOR])</f>
        <v>0</v>
      </c>
      <c r="J9" s="36">
        <f>orcamento[[#This Row],[Valor Programado]]-orcamento[[#This Row],[Utilizado]]</f>
        <v>5000</v>
      </c>
    </row>
    <row r="10" spans="2:10" x14ac:dyDescent="0.25">
      <c r="B10" s="33">
        <v>8</v>
      </c>
      <c r="C10" s="33" t="s">
        <v>126</v>
      </c>
      <c r="D10" s="33"/>
      <c r="E10" s="34" t="s">
        <v>142</v>
      </c>
      <c r="F10" s="38">
        <v>4</v>
      </c>
      <c r="G10" s="35">
        <v>1250</v>
      </c>
      <c r="H10" s="35">
        <f t="shared" ref="H10:H15" si="2">G10*F10</f>
        <v>5000</v>
      </c>
      <c r="I10" s="36">
        <f>SUMIF(tbAba06[ÍTEM],orcamento[[#This Row],[N°]],tbAba06[VALOR])</f>
        <v>0</v>
      </c>
      <c r="J10" s="36">
        <f>orcamento[[#This Row],[Valor Programado]]-orcamento[[#This Row],[Utilizado]]</f>
        <v>5000</v>
      </c>
    </row>
    <row r="11" spans="2:10" x14ac:dyDescent="0.25">
      <c r="B11" s="33">
        <v>9</v>
      </c>
      <c r="C11" s="33" t="s">
        <v>126</v>
      </c>
      <c r="D11" s="33"/>
      <c r="E11" s="34" t="s">
        <v>143</v>
      </c>
      <c r="F11" s="38">
        <v>6</v>
      </c>
      <c r="G11" s="35">
        <v>1250</v>
      </c>
      <c r="H11" s="35">
        <f t="shared" si="2"/>
        <v>7500</v>
      </c>
      <c r="I11" s="36">
        <f>SUMIF(tbAba06[ÍTEM],orcamento[[#This Row],[N°]],tbAba06[VALOR])</f>
        <v>0</v>
      </c>
      <c r="J11" s="36">
        <f>orcamento[[#This Row],[Valor Programado]]-orcamento[[#This Row],[Utilizado]]</f>
        <v>7500</v>
      </c>
    </row>
    <row r="12" spans="2:10" x14ac:dyDescent="0.25">
      <c r="B12" s="33">
        <v>10</v>
      </c>
      <c r="C12" s="33" t="s">
        <v>126</v>
      </c>
      <c r="D12" s="33"/>
      <c r="E12" s="34" t="s">
        <v>144</v>
      </c>
      <c r="F12" s="38">
        <v>12</v>
      </c>
      <c r="G12" s="35">
        <v>1250</v>
      </c>
      <c r="H12" s="35">
        <f t="shared" si="2"/>
        <v>15000</v>
      </c>
      <c r="I12" s="36">
        <f>SUMIF(tbAba06[ÍTEM],orcamento[[#This Row],[N°]],tbAba06[VALOR])</f>
        <v>0</v>
      </c>
      <c r="J12" s="36">
        <f>orcamento[[#This Row],[Valor Programado]]-orcamento[[#This Row],[Utilizado]]</f>
        <v>15000</v>
      </c>
    </row>
    <row r="13" spans="2:10" x14ac:dyDescent="0.25">
      <c r="B13" s="33">
        <v>11</v>
      </c>
      <c r="C13" s="33" t="s">
        <v>126</v>
      </c>
      <c r="D13" s="33"/>
      <c r="E13" s="34" t="s">
        <v>145</v>
      </c>
      <c r="F13" s="38">
        <v>4</v>
      </c>
      <c r="G13" s="35">
        <v>1250</v>
      </c>
      <c r="H13" s="35">
        <f t="shared" si="2"/>
        <v>5000</v>
      </c>
      <c r="I13" s="36">
        <f>SUMIF(tbAba06[ÍTEM],orcamento[[#This Row],[N°]],tbAba06[VALOR])</f>
        <v>0</v>
      </c>
      <c r="J13" s="36">
        <f>orcamento[[#This Row],[Valor Programado]]-orcamento[[#This Row],[Utilizado]]</f>
        <v>5000</v>
      </c>
    </row>
    <row r="14" spans="2:10" x14ac:dyDescent="0.25">
      <c r="B14" s="33">
        <v>12</v>
      </c>
      <c r="C14" s="33" t="s">
        <v>126</v>
      </c>
      <c r="D14" s="33"/>
      <c r="E14" s="34" t="s">
        <v>146</v>
      </c>
      <c r="F14" s="38">
        <v>15</v>
      </c>
      <c r="G14" s="35">
        <v>1100</v>
      </c>
      <c r="H14" s="35">
        <f t="shared" si="2"/>
        <v>16500</v>
      </c>
      <c r="I14" s="36">
        <f>SUMIF(tbAba06[ÍTEM],orcamento[[#This Row],[N°]],tbAba06[VALOR])</f>
        <v>0</v>
      </c>
      <c r="J14" s="36">
        <f>orcamento[[#This Row],[Valor Programado]]-orcamento[[#This Row],[Utilizado]]</f>
        <v>16500</v>
      </c>
    </row>
    <row r="15" spans="2:10" x14ac:dyDescent="0.25">
      <c r="B15" s="33">
        <v>13</v>
      </c>
      <c r="C15" s="33" t="s">
        <v>126</v>
      </c>
      <c r="D15" s="33"/>
      <c r="E15" s="34" t="s">
        <v>147</v>
      </c>
      <c r="F15" s="38">
        <v>20</v>
      </c>
      <c r="G15" s="35">
        <v>1250</v>
      </c>
      <c r="H15" s="35">
        <f t="shared" si="2"/>
        <v>25000</v>
      </c>
      <c r="I15" s="36">
        <f>SUMIF(tbAba06[ÍTEM],orcamento[[#This Row],[N°]],tbAba06[VALOR])</f>
        <v>0</v>
      </c>
      <c r="J15" s="36">
        <f>orcamento[[#This Row],[Valor Programado]]-orcamento[[#This Row],[Utilizado]]</f>
        <v>25000</v>
      </c>
    </row>
    <row r="16" spans="2:10" x14ac:dyDescent="0.25">
      <c r="B16" s="33">
        <v>14</v>
      </c>
      <c r="C16" s="33" t="s">
        <v>126</v>
      </c>
      <c r="D16" s="33"/>
      <c r="E16" s="34" t="s">
        <v>148</v>
      </c>
      <c r="F16" s="38">
        <v>8</v>
      </c>
      <c r="G16" s="35">
        <v>1250</v>
      </c>
      <c r="H16" s="35">
        <f t="shared" ref="H16:H40" si="3">G16*F16</f>
        <v>10000</v>
      </c>
      <c r="I16" s="36">
        <f>SUMIF(tbAba06[ÍTEM],orcamento[[#This Row],[N°]],tbAba06[VALOR])</f>
        <v>0</v>
      </c>
      <c r="J16" s="36">
        <f>orcamento[[#This Row],[Valor Programado]]-orcamento[[#This Row],[Utilizado]]</f>
        <v>10000</v>
      </c>
    </row>
    <row r="17" spans="2:10" x14ac:dyDescent="0.25">
      <c r="B17" s="33">
        <v>15</v>
      </c>
      <c r="C17" s="33" t="s">
        <v>126</v>
      </c>
      <c r="D17" s="33"/>
      <c r="E17" s="34" t="s">
        <v>149</v>
      </c>
      <c r="F17" s="38">
        <v>4</v>
      </c>
      <c r="G17" s="35">
        <v>1250</v>
      </c>
      <c r="H17" s="35">
        <f t="shared" si="3"/>
        <v>5000</v>
      </c>
      <c r="I17" s="36">
        <f>SUMIF(tbAba06[ÍTEM],orcamento[[#This Row],[N°]],tbAba06[VALOR])</f>
        <v>0</v>
      </c>
      <c r="J17" s="36">
        <f>orcamento[[#This Row],[Valor Programado]]-orcamento[[#This Row],[Utilizado]]</f>
        <v>5000</v>
      </c>
    </row>
    <row r="18" spans="2:10" x14ac:dyDescent="0.25">
      <c r="B18" s="33">
        <v>16</v>
      </c>
      <c r="C18" s="33" t="s">
        <v>126</v>
      </c>
      <c r="D18" s="33"/>
      <c r="E18" s="34" t="s">
        <v>150</v>
      </c>
      <c r="F18" s="38">
        <v>20</v>
      </c>
      <c r="G18" s="35">
        <v>1250</v>
      </c>
      <c r="H18" s="35">
        <f t="shared" si="3"/>
        <v>25000</v>
      </c>
      <c r="I18" s="36">
        <f>SUMIF(tbAba06[ÍTEM],orcamento[[#This Row],[N°]],tbAba06[VALOR])</f>
        <v>0</v>
      </c>
      <c r="J18" s="36">
        <f>orcamento[[#This Row],[Valor Programado]]-orcamento[[#This Row],[Utilizado]]</f>
        <v>25000</v>
      </c>
    </row>
    <row r="19" spans="2:10" x14ac:dyDescent="0.25">
      <c r="B19" s="33">
        <v>17</v>
      </c>
      <c r="C19" s="33" t="s">
        <v>126</v>
      </c>
      <c r="D19" s="33"/>
      <c r="E19" s="34" t="s">
        <v>151</v>
      </c>
      <c r="F19" s="38">
        <v>4</v>
      </c>
      <c r="G19" s="35">
        <v>1250</v>
      </c>
      <c r="H19" s="35">
        <f t="shared" si="3"/>
        <v>5000</v>
      </c>
      <c r="I19" s="36">
        <f>SUMIF(tbAba06[ÍTEM],orcamento[[#This Row],[N°]],tbAba06[VALOR])</f>
        <v>0</v>
      </c>
      <c r="J19" s="36">
        <f>orcamento[[#This Row],[Valor Programado]]-orcamento[[#This Row],[Utilizado]]</f>
        <v>5000</v>
      </c>
    </row>
    <row r="20" spans="2:10" x14ac:dyDescent="0.25">
      <c r="B20" s="33">
        <v>18</v>
      </c>
      <c r="C20" s="33" t="s">
        <v>126</v>
      </c>
      <c r="D20" s="33"/>
      <c r="E20" s="34" t="s">
        <v>152</v>
      </c>
      <c r="F20" s="38">
        <v>4</v>
      </c>
      <c r="G20" s="35">
        <v>1250</v>
      </c>
      <c r="H20" s="35">
        <f t="shared" si="3"/>
        <v>5000</v>
      </c>
      <c r="I20" s="36">
        <f>SUMIF(tbAba06[ÍTEM],orcamento[[#This Row],[N°]],tbAba06[VALOR])</f>
        <v>0</v>
      </c>
      <c r="J20" s="36">
        <f>orcamento[[#This Row],[Valor Programado]]-orcamento[[#This Row],[Utilizado]]</f>
        <v>5000</v>
      </c>
    </row>
    <row r="21" spans="2:10" x14ac:dyDescent="0.25">
      <c r="B21" s="33">
        <v>19</v>
      </c>
      <c r="C21" s="33" t="s">
        <v>126</v>
      </c>
      <c r="D21" s="33"/>
      <c r="E21" s="34" t="s">
        <v>153</v>
      </c>
      <c r="F21" s="38">
        <v>4</v>
      </c>
      <c r="G21" s="35">
        <v>1250</v>
      </c>
      <c r="H21" s="35">
        <f t="shared" si="3"/>
        <v>5000</v>
      </c>
      <c r="I21" s="36">
        <f>SUMIF(tbAba06[ÍTEM],orcamento[[#This Row],[N°]],tbAba06[VALOR])</f>
        <v>0</v>
      </c>
      <c r="J21" s="36">
        <f>orcamento[[#This Row],[Valor Programado]]-orcamento[[#This Row],[Utilizado]]</f>
        <v>5000</v>
      </c>
    </row>
    <row r="22" spans="2:10" x14ac:dyDescent="0.25">
      <c r="B22" s="33">
        <v>20</v>
      </c>
      <c r="C22" s="33" t="s">
        <v>126</v>
      </c>
      <c r="D22" s="33"/>
      <c r="E22" s="34" t="s">
        <v>154</v>
      </c>
      <c r="F22" s="38">
        <v>4</v>
      </c>
      <c r="G22" s="35">
        <v>1250</v>
      </c>
      <c r="H22" s="35">
        <f t="shared" si="3"/>
        <v>5000</v>
      </c>
      <c r="I22" s="36">
        <f>SUMIF(tbAba06[ÍTEM],orcamento[[#This Row],[N°]],tbAba06[VALOR])</f>
        <v>0</v>
      </c>
      <c r="J22" s="36">
        <f>orcamento[[#This Row],[Valor Programado]]-orcamento[[#This Row],[Utilizado]]</f>
        <v>5000</v>
      </c>
    </row>
    <row r="23" spans="2:10" x14ac:dyDescent="0.25">
      <c r="B23" s="33">
        <v>21</v>
      </c>
      <c r="C23" s="33" t="s">
        <v>126</v>
      </c>
      <c r="D23" s="33"/>
      <c r="E23" s="34" t="s">
        <v>155</v>
      </c>
      <c r="F23" s="38">
        <v>4</v>
      </c>
      <c r="G23" s="35">
        <v>1250</v>
      </c>
      <c r="H23" s="35">
        <f t="shared" si="3"/>
        <v>5000</v>
      </c>
      <c r="I23" s="36">
        <f>SUMIF(tbAba06[ÍTEM],orcamento[[#This Row],[N°]],tbAba06[VALOR])</f>
        <v>0</v>
      </c>
      <c r="J23" s="36">
        <f>orcamento[[#This Row],[Valor Programado]]-orcamento[[#This Row],[Utilizado]]</f>
        <v>5000</v>
      </c>
    </row>
    <row r="24" spans="2:10" x14ac:dyDescent="0.25">
      <c r="B24" s="33">
        <v>1</v>
      </c>
      <c r="C24" s="33" t="s">
        <v>131</v>
      </c>
      <c r="D24" s="33"/>
      <c r="E24" s="34" t="s">
        <v>156</v>
      </c>
      <c r="F24" s="38">
        <v>105</v>
      </c>
      <c r="G24" s="35">
        <v>650</v>
      </c>
      <c r="H24" s="35">
        <f t="shared" si="3"/>
        <v>68250</v>
      </c>
      <c r="I24" s="36">
        <f>SUMIF(tbAba06[ÍTEM],orcamento[[#This Row],[N°]],tbAba06[VALOR])</f>
        <v>0</v>
      </c>
      <c r="J24" s="36">
        <f>orcamento[[#This Row],[Valor Programado]]-orcamento[[#This Row],[Utilizado]]</f>
        <v>68250</v>
      </c>
    </row>
    <row r="25" spans="2:10" x14ac:dyDescent="0.25">
      <c r="B25" s="33">
        <v>1</v>
      </c>
      <c r="C25" s="33" t="s">
        <v>132</v>
      </c>
      <c r="D25" s="33"/>
      <c r="E25" s="34" t="s">
        <v>157</v>
      </c>
      <c r="F25" s="38">
        <v>1100</v>
      </c>
      <c r="G25" s="35">
        <v>5.57</v>
      </c>
      <c r="H25" s="35">
        <f t="shared" si="3"/>
        <v>6127</v>
      </c>
      <c r="I25" s="36">
        <f>SUMIF(tbAba06[ÍTEM],orcamento[[#This Row],[N°]],tbAba06[VALOR])</f>
        <v>0</v>
      </c>
      <c r="J25" s="36">
        <f>orcamento[[#This Row],[Valor Programado]]-orcamento[[#This Row],[Utilizado]]</f>
        <v>6127</v>
      </c>
    </row>
    <row r="26" spans="2:10" x14ac:dyDescent="0.25">
      <c r="B26" s="33">
        <v>2</v>
      </c>
      <c r="C26" s="33" t="s">
        <v>132</v>
      </c>
      <c r="D26" s="33"/>
      <c r="E26" s="34" t="s">
        <v>158</v>
      </c>
      <c r="F26" s="38">
        <v>1</v>
      </c>
      <c r="G26" s="35">
        <v>2000</v>
      </c>
      <c r="H26" s="35">
        <f t="shared" si="3"/>
        <v>2000</v>
      </c>
      <c r="I26" s="36">
        <f>SUMIF(tbAba06[ÍTEM],orcamento[[#This Row],[N°]],tbAba06[VALOR])</f>
        <v>0</v>
      </c>
      <c r="J26" s="36">
        <f>orcamento[[#This Row],[Valor Programado]]-orcamento[[#This Row],[Utilizado]]</f>
        <v>2000</v>
      </c>
    </row>
    <row r="27" spans="2:10" x14ac:dyDescent="0.25">
      <c r="B27" s="33">
        <v>3</v>
      </c>
      <c r="C27" s="33" t="s">
        <v>132</v>
      </c>
      <c r="D27" s="33"/>
      <c r="E27" s="34" t="s">
        <v>159</v>
      </c>
      <c r="F27" s="38">
        <v>1</v>
      </c>
      <c r="G27" s="35">
        <v>15000</v>
      </c>
      <c r="H27" s="35">
        <f t="shared" si="3"/>
        <v>15000</v>
      </c>
      <c r="I27" s="36">
        <f>SUMIF(tbAba06[ÍTEM],orcamento[[#This Row],[N°]],tbAba06[VALOR])</f>
        <v>0</v>
      </c>
      <c r="J27" s="36">
        <f>orcamento[[#This Row],[Valor Programado]]-orcamento[[#This Row],[Utilizado]]</f>
        <v>15000</v>
      </c>
    </row>
    <row r="28" spans="2:10" x14ac:dyDescent="0.25">
      <c r="B28" s="33">
        <v>1</v>
      </c>
      <c r="C28" s="33" t="s">
        <v>43</v>
      </c>
      <c r="D28" s="33"/>
      <c r="E28" s="34" t="s">
        <v>160</v>
      </c>
      <c r="F28" s="38">
        <v>1</v>
      </c>
      <c r="G28" s="35">
        <v>8000</v>
      </c>
      <c r="H28" s="35">
        <f t="shared" si="3"/>
        <v>8000</v>
      </c>
      <c r="I28" s="36">
        <f>SUMIF(tbAba06[ÍTEM],orcamento[[#This Row],[N°]],tbAba06[VALOR])</f>
        <v>0</v>
      </c>
      <c r="J28" s="36">
        <f>orcamento[[#This Row],[Valor Programado]]-orcamento[[#This Row],[Utilizado]]</f>
        <v>8000</v>
      </c>
    </row>
    <row r="29" spans="2:10" x14ac:dyDescent="0.25">
      <c r="B29" s="33">
        <v>2</v>
      </c>
      <c r="C29" s="33" t="s">
        <v>43</v>
      </c>
      <c r="D29" s="33"/>
      <c r="E29" s="34" t="s">
        <v>161</v>
      </c>
      <c r="F29" s="38">
        <v>1</v>
      </c>
      <c r="G29" s="35">
        <v>6000</v>
      </c>
      <c r="H29" s="35">
        <f t="shared" si="3"/>
        <v>6000</v>
      </c>
      <c r="I29" s="36">
        <f>SUMIF(tbAba06[ÍTEM],orcamento[[#This Row],[N°]],tbAba06[VALOR])</f>
        <v>0</v>
      </c>
      <c r="J29" s="36">
        <f>orcamento[[#This Row],[Valor Programado]]-orcamento[[#This Row],[Utilizado]]</f>
        <v>6000</v>
      </c>
    </row>
    <row r="30" spans="2:10" x14ac:dyDescent="0.25">
      <c r="B30" s="33">
        <v>3</v>
      </c>
      <c r="C30" s="33" t="s">
        <v>43</v>
      </c>
      <c r="D30" s="33"/>
      <c r="E30" s="34" t="s">
        <v>162</v>
      </c>
      <c r="F30" s="38">
        <v>1</v>
      </c>
      <c r="G30" s="35">
        <v>5000</v>
      </c>
      <c r="H30" s="35">
        <f t="shared" si="3"/>
        <v>5000</v>
      </c>
      <c r="I30" s="36">
        <f>SUMIF(tbAba06[ÍTEM],orcamento[[#This Row],[N°]],tbAba06[VALOR])</f>
        <v>0</v>
      </c>
      <c r="J30" s="36">
        <f>orcamento[[#This Row],[Valor Programado]]-orcamento[[#This Row],[Utilizado]]</f>
        <v>5000</v>
      </c>
    </row>
    <row r="31" spans="2:10" x14ac:dyDescent="0.25">
      <c r="B31" s="33">
        <v>1</v>
      </c>
      <c r="C31" s="33" t="s">
        <v>133</v>
      </c>
      <c r="D31" s="33"/>
      <c r="E31" s="34" t="s">
        <v>163</v>
      </c>
      <c r="F31" s="38">
        <v>1</v>
      </c>
      <c r="G31" s="35">
        <v>1700</v>
      </c>
      <c r="H31" s="35">
        <f t="shared" si="3"/>
        <v>1700</v>
      </c>
      <c r="I31" s="36">
        <f>SUMIF(tbAba06[ÍTEM],orcamento[[#This Row],[N°]],tbAba06[VALOR])</f>
        <v>0</v>
      </c>
      <c r="J31" s="36">
        <f>orcamento[[#This Row],[Valor Programado]]-orcamento[[#This Row],[Utilizado]]</f>
        <v>1700</v>
      </c>
    </row>
    <row r="32" spans="2:10" x14ac:dyDescent="0.25">
      <c r="B32" s="33">
        <v>2</v>
      </c>
      <c r="C32" s="33" t="s">
        <v>133</v>
      </c>
      <c r="D32" s="33"/>
      <c r="E32" s="34" t="s">
        <v>164</v>
      </c>
      <c r="F32" s="38">
        <v>1</v>
      </c>
      <c r="G32" s="35">
        <v>5000</v>
      </c>
      <c r="H32" s="35">
        <f t="shared" si="3"/>
        <v>5000</v>
      </c>
      <c r="I32" s="36">
        <f>SUMIF(tbAba06[ÍTEM],orcamento[[#This Row],[N°]],tbAba06[VALOR])</f>
        <v>0</v>
      </c>
      <c r="J32" s="36">
        <f>orcamento[[#This Row],[Valor Programado]]-orcamento[[#This Row],[Utilizado]]</f>
        <v>5000</v>
      </c>
    </row>
    <row r="33" spans="2:10" x14ac:dyDescent="0.25">
      <c r="B33" s="33">
        <v>3</v>
      </c>
      <c r="C33" s="33" t="s">
        <v>133</v>
      </c>
      <c r="D33" s="33"/>
      <c r="E33" s="34" t="s">
        <v>165</v>
      </c>
      <c r="F33" s="38">
        <v>2</v>
      </c>
      <c r="G33" s="35">
        <v>2900</v>
      </c>
      <c r="H33" s="35">
        <f t="shared" si="3"/>
        <v>5800</v>
      </c>
      <c r="I33" s="36">
        <f>SUMIF(tbAba06[ÍTEM],orcamento[[#This Row],[N°]],tbAba06[VALOR])</f>
        <v>0</v>
      </c>
      <c r="J33" s="36">
        <f>orcamento[[#This Row],[Valor Programado]]-orcamento[[#This Row],[Utilizado]]</f>
        <v>5800</v>
      </c>
    </row>
    <row r="34" spans="2:10" x14ac:dyDescent="0.25">
      <c r="B34" s="33">
        <v>4</v>
      </c>
      <c r="C34" s="33" t="s">
        <v>133</v>
      </c>
      <c r="D34" s="33"/>
      <c r="E34" s="34" t="s">
        <v>166</v>
      </c>
      <c r="F34" s="38">
        <v>4</v>
      </c>
      <c r="G34" s="35">
        <v>5750</v>
      </c>
      <c r="H34" s="35">
        <f t="shared" si="3"/>
        <v>23000</v>
      </c>
      <c r="I34" s="36">
        <f>SUMIF(tbAba06[ÍTEM],orcamento[[#This Row],[N°]],tbAba06[VALOR])</f>
        <v>0</v>
      </c>
      <c r="J34" s="36">
        <f>orcamento[[#This Row],[Valor Programado]]-orcamento[[#This Row],[Utilizado]]</f>
        <v>23000</v>
      </c>
    </row>
    <row r="35" spans="2:10" x14ac:dyDescent="0.25">
      <c r="B35" s="33">
        <v>5</v>
      </c>
      <c r="C35" s="33" t="s">
        <v>133</v>
      </c>
      <c r="D35" s="33"/>
      <c r="E35" s="34" t="s">
        <v>167</v>
      </c>
      <c r="F35" s="38">
        <v>1</v>
      </c>
      <c r="G35" s="35">
        <v>2200</v>
      </c>
      <c r="H35" s="35">
        <f t="shared" si="3"/>
        <v>2200</v>
      </c>
      <c r="I35" s="36">
        <f>SUMIF(tbAba06[ÍTEM],orcamento[[#This Row],[N°]],tbAba06[VALOR])</f>
        <v>0</v>
      </c>
      <c r="J35" s="36">
        <f>orcamento[[#This Row],[Valor Programado]]-orcamento[[#This Row],[Utilizado]]</f>
        <v>2200</v>
      </c>
    </row>
    <row r="36" spans="2:10" x14ac:dyDescent="0.25">
      <c r="B36" s="33">
        <v>6</v>
      </c>
      <c r="C36" s="33" t="s">
        <v>133</v>
      </c>
      <c r="D36" s="33"/>
      <c r="E36" s="34" t="s">
        <v>168</v>
      </c>
      <c r="F36" s="38">
        <v>1</v>
      </c>
      <c r="G36" s="35">
        <v>4100</v>
      </c>
      <c r="H36" s="35">
        <f t="shared" si="3"/>
        <v>4100</v>
      </c>
      <c r="I36" s="36">
        <f>SUMIF(tbAba06[ÍTEM],orcamento[[#This Row],[N°]],tbAba06[VALOR])</f>
        <v>0</v>
      </c>
      <c r="J36" s="36">
        <f>orcamento[[#This Row],[Valor Programado]]-orcamento[[#This Row],[Utilizado]]</f>
        <v>4100</v>
      </c>
    </row>
    <row r="37" spans="2:10" x14ac:dyDescent="0.25">
      <c r="B37" s="33">
        <v>7</v>
      </c>
      <c r="C37" s="33" t="s">
        <v>133</v>
      </c>
      <c r="D37" s="33"/>
      <c r="E37" s="34" t="s">
        <v>169</v>
      </c>
      <c r="F37" s="38">
        <v>1</v>
      </c>
      <c r="G37" s="35">
        <v>312</v>
      </c>
      <c r="H37" s="35">
        <f t="shared" si="3"/>
        <v>312</v>
      </c>
      <c r="I37" s="36">
        <f>SUMIF(tbAba06[ÍTEM],orcamento[[#This Row],[N°]],tbAba06[VALOR])</f>
        <v>0</v>
      </c>
      <c r="J37" s="36">
        <f>orcamento[[#This Row],[Valor Programado]]-orcamento[[#This Row],[Utilizado]]</f>
        <v>312</v>
      </c>
    </row>
    <row r="38" spans="2:10" x14ac:dyDescent="0.25">
      <c r="B38" s="33">
        <v>8</v>
      </c>
      <c r="C38" s="33" t="s">
        <v>133</v>
      </c>
      <c r="D38" s="33"/>
      <c r="E38" s="34" t="s">
        <v>170</v>
      </c>
      <c r="F38" s="38">
        <v>1</v>
      </c>
      <c r="G38" s="35">
        <v>2500</v>
      </c>
      <c r="H38" s="35">
        <f t="shared" si="3"/>
        <v>2500</v>
      </c>
      <c r="I38" s="36">
        <f>SUMIF(tbAba06[ÍTEM],orcamento[[#This Row],[N°]],tbAba06[VALOR])</f>
        <v>0</v>
      </c>
      <c r="J38" s="36">
        <f>orcamento[[#This Row],[Valor Programado]]-orcamento[[#This Row],[Utilizado]]</f>
        <v>2500</v>
      </c>
    </row>
    <row r="39" spans="2:10" x14ac:dyDescent="0.25">
      <c r="B39" s="33">
        <v>1</v>
      </c>
      <c r="C39" s="33" t="s">
        <v>134</v>
      </c>
      <c r="D39" s="33"/>
      <c r="E39" s="34" t="s">
        <v>171</v>
      </c>
      <c r="F39" s="38">
        <v>1</v>
      </c>
      <c r="G39" s="35">
        <v>38461.22</v>
      </c>
      <c r="H39" s="35">
        <f t="shared" si="3"/>
        <v>38461.22</v>
      </c>
      <c r="I39" s="36">
        <f>SUMIF(tbAba06[ÍTEM],orcamento[[#This Row],[N°]],tbAba06[VALOR])</f>
        <v>0</v>
      </c>
      <c r="J39" s="36">
        <f>orcamento[[#This Row],[Valor Programado]]-orcamento[[#This Row],[Utilizado]]</f>
        <v>38461.22</v>
      </c>
    </row>
    <row r="40" spans="2:10" x14ac:dyDescent="0.25">
      <c r="B40" s="33">
        <v>2</v>
      </c>
      <c r="C40" s="33" t="s">
        <v>134</v>
      </c>
      <c r="D40" s="33"/>
      <c r="E40" s="34" t="s">
        <v>172</v>
      </c>
      <c r="F40" s="38">
        <v>1</v>
      </c>
      <c r="G40" s="35">
        <v>9049.7800000000007</v>
      </c>
      <c r="H40" s="35">
        <f t="shared" si="3"/>
        <v>9049.7800000000007</v>
      </c>
      <c r="I40" s="36">
        <f>SUMIF(tbAba06[ÍTEM],orcamento[[#This Row],[N°]],tbAba06[VALOR])</f>
        <v>0</v>
      </c>
      <c r="J40" s="36">
        <f>orcamento[[#This Row],[Valor Programado]]-orcamento[[#This Row],[Utilizado]]</f>
        <v>9049.7800000000007</v>
      </c>
    </row>
    <row r="41" spans="2:10" x14ac:dyDescent="0.25">
      <c r="B41" s="33"/>
      <c r="C41" s="33"/>
      <c r="D41" s="33"/>
      <c r="E41" s="37"/>
      <c r="F41" s="33"/>
      <c r="G41" s="35"/>
      <c r="H41" s="35">
        <f>SUM(H3:H40)</f>
        <v>500000</v>
      </c>
      <c r="I41" s="36">
        <f>SUBTOTAL(109,orcamento[Utilizado])</f>
        <v>0</v>
      </c>
      <c r="J41" s="36">
        <f>SUBTOTAL(109,orcamento[Saldo])</f>
        <v>500000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showGridLines="0" topLeftCell="A9" workbookViewId="0">
      <selection activeCell="C11" sqref="C11:E11"/>
    </sheetView>
  </sheetViews>
  <sheetFormatPr defaultRowHeight="12.75" x14ac:dyDescent="0.2"/>
  <cols>
    <col min="1" max="1" width="2.85546875" style="10" customWidth="1"/>
    <col min="2" max="3" width="9.140625" style="10"/>
    <col min="4" max="4" width="43.5703125" style="10" customWidth="1"/>
    <col min="5" max="5" width="14.42578125" style="10" customWidth="1"/>
    <col min="6" max="16384" width="9.140625" style="10"/>
  </cols>
  <sheetData>
    <row r="2" spans="2:5" x14ac:dyDescent="0.2">
      <c r="B2" s="133" t="s">
        <v>34</v>
      </c>
      <c r="C2" s="133"/>
      <c r="D2" s="142" t="e">
        <f>CONCATENATE(contrato," - ",tipo_contrato)</f>
        <v>#NAME?</v>
      </c>
      <c r="E2" s="142"/>
    </row>
    <row r="3" spans="2:5" x14ac:dyDescent="0.2">
      <c r="B3" s="133" t="s">
        <v>4</v>
      </c>
      <c r="C3" s="133"/>
      <c r="D3" s="173" t="str">
        <f>Resumo!D5:K5</f>
        <v>ESTUDO APLICADO PARA FINS DE REVISÃO DO PLANO DIRETOR MUNICIPAL DE JUAZEIRO DO NORTE (PDM-JN)</v>
      </c>
      <c r="E3" s="173"/>
    </row>
    <row r="4" spans="2:5" x14ac:dyDescent="0.2">
      <c r="B4" s="133" t="s">
        <v>9</v>
      </c>
      <c r="C4" s="133"/>
      <c r="D4" s="174" t="str">
        <f>Resumo!D8:K8</f>
        <v>DIEGO COELHO DO NASCIMENTO</v>
      </c>
      <c r="E4" s="174"/>
    </row>
    <row r="5" spans="2:5" x14ac:dyDescent="0.2">
      <c r="B5" s="133" t="s">
        <v>5</v>
      </c>
      <c r="C5" s="133"/>
      <c r="D5" s="175" t="str">
        <f>CONCATENATE(TEXT(Resumo!H6,"dd/mm/aaa")," - ",TEXT(Resumo!I6,"dd/mm/aaa"))</f>
        <v>19/07/2021 - 30/06/2021</v>
      </c>
      <c r="E5" s="175"/>
    </row>
    <row r="7" spans="2:5" x14ac:dyDescent="0.2">
      <c r="B7" s="171" t="s">
        <v>35</v>
      </c>
      <c r="C7" s="171"/>
      <c r="D7" s="171"/>
      <c r="E7" s="171"/>
    </row>
    <row r="8" spans="2:5" ht="13.5" thickBot="1" x14ac:dyDescent="0.25">
      <c r="B8" s="172" t="s">
        <v>36</v>
      </c>
      <c r="C8" s="172"/>
      <c r="D8" s="172"/>
      <c r="E8" s="172"/>
    </row>
    <row r="9" spans="2:5" ht="13.5" thickTop="1" x14ac:dyDescent="0.2">
      <c r="B9" s="170" t="s">
        <v>37</v>
      </c>
      <c r="C9" s="170"/>
      <c r="D9" s="170"/>
      <c r="E9" s="5">
        <f>SUM(tarifa_bancaria[VALOR])</f>
        <v>0</v>
      </c>
    </row>
    <row r="10" spans="2:5" x14ac:dyDescent="0.2">
      <c r="B10" s="17" t="s">
        <v>38</v>
      </c>
      <c r="C10" s="17" t="s">
        <v>39</v>
      </c>
      <c r="D10" s="17" t="s">
        <v>40</v>
      </c>
      <c r="E10" s="17" t="s">
        <v>41</v>
      </c>
    </row>
    <row r="11" spans="2:5" x14ac:dyDescent="0.2">
      <c r="B11" s="18">
        <v>1</v>
      </c>
      <c r="C11" s="19"/>
      <c r="D11" s="32"/>
      <c r="E11" s="20"/>
    </row>
  </sheetData>
  <mergeCells count="11">
    <mergeCell ref="B9:D9"/>
    <mergeCell ref="B7:E7"/>
    <mergeCell ref="B8:E8"/>
    <mergeCell ref="B2:C2"/>
    <mergeCell ref="B3:C3"/>
    <mergeCell ref="B4:C4"/>
    <mergeCell ref="B5:C5"/>
    <mergeCell ref="D2:E2"/>
    <mergeCell ref="D3:E3"/>
    <mergeCell ref="D4:E4"/>
    <mergeCell ref="D5:E5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topLeftCell="A7" workbookViewId="0">
      <selection activeCell="I21" sqref="I21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8.28515625" style="10" bestFit="1" customWidth="1"/>
    <col min="4" max="4" width="10.28515625" style="10" bestFit="1" customWidth="1"/>
    <col min="5" max="5" width="14" style="10" bestFit="1" customWidth="1"/>
    <col min="6" max="6" width="11.85546875" style="10" bestFit="1" customWidth="1"/>
    <col min="7" max="7" width="15.5703125" style="10" bestFit="1" customWidth="1"/>
    <col min="8" max="8" width="13.5703125" style="10" bestFit="1" customWidth="1"/>
    <col min="9" max="9" width="17" style="10" bestFit="1" customWidth="1"/>
    <col min="10" max="16384" width="9.140625" style="10"/>
  </cols>
  <sheetData>
    <row r="2" spans="2:9" x14ac:dyDescent="0.2">
      <c r="B2" s="133" t="s">
        <v>4</v>
      </c>
      <c r="C2" s="133"/>
      <c r="D2" s="176" t="str">
        <f>Resumo!D5:K5</f>
        <v>ESTUDO APLICADO PARA FINS DE REVISÃO DO PLANO DIRETOR MUNICIPAL DE JUAZEIRO DO NORTE (PDM-JN)</v>
      </c>
      <c r="E2" s="177"/>
      <c r="F2" s="177">
        <f>Resumo!F5:M5</f>
        <v>0</v>
      </c>
      <c r="G2" s="177"/>
      <c r="H2" s="177">
        <f>Resumo!H5:O5</f>
        <v>0</v>
      </c>
      <c r="I2" s="178"/>
    </row>
    <row r="3" spans="2:9" x14ac:dyDescent="0.2">
      <c r="B3" s="133" t="s">
        <v>9</v>
      </c>
      <c r="C3" s="133"/>
      <c r="D3" s="179" t="str">
        <f>Resumo!D8:K8</f>
        <v>DIEGO COELHO DO NASCIMENTO</v>
      </c>
      <c r="E3" s="180"/>
      <c r="F3" s="180">
        <f>Resumo!F8:M8</f>
        <v>0</v>
      </c>
      <c r="G3" s="180"/>
      <c r="H3" s="180">
        <f>Resumo!H8:O8</f>
        <v>0</v>
      </c>
      <c r="I3" s="181"/>
    </row>
    <row r="4" spans="2:9" x14ac:dyDescent="0.2">
      <c r="B4" s="133" t="s">
        <v>5</v>
      </c>
      <c r="C4" s="133"/>
      <c r="D4" s="182" t="str">
        <f>CONCATENATE(TEXT(Resumo!H6,"dd/mm/aaa")," - ",TEXT(Resumo!I6,"dd/mm/aaa"))</f>
        <v>19/07/2021 - 30/06/2021</v>
      </c>
      <c r="E4" s="183"/>
      <c r="F4" s="183" t="str">
        <f>CONCATENATE(TEXT(Resumo!J6,"dd/mm/aaa")," - ",TEXT(Resumo!K6,"dd/mm/aaa"))</f>
        <v>00/01/1900 - 00/01/1900</v>
      </c>
      <c r="G4" s="183"/>
      <c r="H4" s="183" t="str">
        <f>CONCATENATE(TEXT(Resumo!L6,"dd/mm/aaa")," - ",TEXT(Resumo!M6,"dd/mm/aaa"))</f>
        <v>00/01/1900 - 00/01/1900</v>
      </c>
      <c r="I4" s="184"/>
    </row>
    <row r="6" spans="2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2:9" ht="13.5" thickBot="1" x14ac:dyDescent="0.25">
      <c r="B7" s="172" t="s">
        <v>43</v>
      </c>
      <c r="C7" s="172"/>
      <c r="D7" s="172"/>
      <c r="E7" s="172"/>
      <c r="F7" s="172"/>
      <c r="G7" s="172"/>
      <c r="H7" s="172"/>
      <c r="I7" s="172"/>
    </row>
    <row r="8" spans="2:9" ht="13.5" thickTop="1" x14ac:dyDescent="0.2">
      <c r="B8" s="4"/>
      <c r="C8" s="4"/>
      <c r="D8" s="4"/>
      <c r="E8" s="5">
        <f>SUM(aplicacao[APLICAÇÃO])</f>
        <v>0</v>
      </c>
      <c r="F8" s="5">
        <f>SUM(aplicacao[RESGATE])</f>
        <v>0</v>
      </c>
      <c r="G8" s="5">
        <f>SUM(aplicacao[RENDIMENTO])</f>
        <v>0</v>
      </c>
      <c r="H8" s="5">
        <f>SUM(aplicacao[ENCARGOS])</f>
        <v>0</v>
      </c>
      <c r="I8" s="5">
        <f>SUM(aplicacao[REND. LÍQUIDO])</f>
        <v>0</v>
      </c>
    </row>
    <row r="9" spans="2:9" x14ac:dyDescent="0.2">
      <c r="B9" s="17" t="s">
        <v>38</v>
      </c>
      <c r="C9" s="17" t="s">
        <v>39</v>
      </c>
      <c r="D9" s="17" t="s">
        <v>44</v>
      </c>
      <c r="E9" s="17" t="s">
        <v>45</v>
      </c>
      <c r="F9" s="17" t="s">
        <v>46</v>
      </c>
      <c r="G9" s="17" t="s">
        <v>47</v>
      </c>
      <c r="H9" s="17" t="s">
        <v>48</v>
      </c>
      <c r="I9" s="17" t="s">
        <v>49</v>
      </c>
    </row>
    <row r="10" spans="2:9" x14ac:dyDescent="0.2">
      <c r="B10" s="18">
        <v>1</v>
      </c>
      <c r="C10" s="21"/>
      <c r="D10" s="22">
        <v>0</v>
      </c>
      <c r="E10" s="22"/>
      <c r="F10" s="22"/>
      <c r="G10" s="22"/>
      <c r="H10" s="22"/>
      <c r="I10" s="22">
        <f>aplicacao[[#This Row],[RENDIMENTO]]-aplicacao[[#This Row],[ENCARGOS]]</f>
        <v>0</v>
      </c>
    </row>
  </sheetData>
  <mergeCells count="8">
    <mergeCell ref="B4:C4"/>
    <mergeCell ref="B6:I6"/>
    <mergeCell ref="B7:I7"/>
    <mergeCell ref="D2:I2"/>
    <mergeCell ref="D3:I3"/>
    <mergeCell ref="D4:I4"/>
    <mergeCell ref="B2:C2"/>
    <mergeCell ref="B3:C3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C10" sqref="C10:I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9.5703125" style="10" bestFit="1" customWidth="1"/>
    <col min="4" max="4" width="7" style="10" bestFit="1" customWidth="1"/>
    <col min="5" max="5" width="8.7109375" style="10" bestFit="1" customWidth="1"/>
    <col min="6" max="6" width="14.5703125" style="10" bestFit="1" customWidth="1"/>
    <col min="7" max="7" width="38.42578125" style="10" bestFit="1" customWidth="1"/>
    <col min="8" max="8" width="13.5703125" style="10" bestFit="1" customWidth="1"/>
    <col min="9" max="9" width="8.7109375" style="10" bestFit="1" customWidth="1"/>
    <col min="10" max="16384" width="9.140625" style="10"/>
  </cols>
  <sheetData>
    <row r="1" spans="1:9" x14ac:dyDescent="0.2">
      <c r="A1" s="10">
        <v>1</v>
      </c>
    </row>
    <row r="2" spans="1:9" ht="12" customHeight="1" x14ac:dyDescent="0.2">
      <c r="B2" s="133" t="s">
        <v>4</v>
      </c>
      <c r="C2" s="133"/>
      <c r="D2" s="176" t="str">
        <f>Resumo!D5:K5</f>
        <v>ESTUDO APLICADO PARA FINS DE REVISÃO DO PLANO DIRETOR MUNICIPAL DE JUAZEIRO DO NORTE (PDM-JN)</v>
      </c>
      <c r="E2" s="177"/>
      <c r="F2" s="177">
        <f>Resumo!F5:M5</f>
        <v>0</v>
      </c>
      <c r="G2" s="177"/>
      <c r="H2" s="177">
        <f>Resumo!H5:O5</f>
        <v>0</v>
      </c>
      <c r="I2" s="178"/>
    </row>
    <row r="3" spans="1:9" ht="12" customHeight="1" x14ac:dyDescent="0.2">
      <c r="B3" s="133" t="s">
        <v>9</v>
      </c>
      <c r="C3" s="133"/>
      <c r="D3" s="179" t="str">
        <f>Resumo!D8:K8</f>
        <v>DIEGO COELHO DO NASCIMENTO</v>
      </c>
      <c r="E3" s="180"/>
      <c r="F3" s="180">
        <f>Resumo!F8:M8</f>
        <v>0</v>
      </c>
      <c r="G3" s="180"/>
      <c r="H3" s="180">
        <f>Resumo!H8:O8</f>
        <v>0</v>
      </c>
      <c r="I3" s="181"/>
    </row>
    <row r="4" spans="1:9" ht="12" customHeight="1" x14ac:dyDescent="0.2">
      <c r="B4" s="133" t="s">
        <v>5</v>
      </c>
      <c r="C4" s="133"/>
      <c r="D4" s="182" t="str">
        <f>CONCATENATE(TEXT(Resumo!H6,"dd/mm/aaa")," - ",TEXT(Resumo!I6,"dd/mm/aaa"))</f>
        <v>19/07/2021 - 30/06/2021</v>
      </c>
      <c r="E4" s="183"/>
      <c r="F4" s="183" t="str">
        <f>CONCATENATE(TEXT(Resumo!J6,"dd/mm/aaa")," - ",TEXT(Resumo!K6,"dd/mm/aaa"))</f>
        <v>00/01/1900 - 00/01/1900</v>
      </c>
      <c r="G4" s="183"/>
      <c r="H4" s="183" t="str">
        <f>CONCATENATE(TEXT(Resumo!L6,"dd/mm/aaa")," - ",TEXT(Resumo!M6,"dd/mm/aaa"))</f>
        <v>00/01/1900 - 00/01/1900</v>
      </c>
      <c r="I4" s="184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Resumo!C13</f>
        <v>BOLSAS</v>
      </c>
      <c r="C7" s="172"/>
      <c r="D7" s="172"/>
      <c r="E7" s="172"/>
      <c r="F7" s="172"/>
      <c r="G7" s="172"/>
      <c r="H7" s="172"/>
      <c r="I7" s="172"/>
    </row>
    <row r="8" spans="1:9" ht="13.5" thickTop="1" x14ac:dyDescent="0.2">
      <c r="B8" s="185" t="s">
        <v>37</v>
      </c>
      <c r="C8" s="185"/>
      <c r="D8" s="185"/>
      <c r="E8" s="185"/>
      <c r="F8" s="185"/>
      <c r="G8" s="185"/>
      <c r="H8" s="185"/>
      <c r="I8" s="5">
        <f>SUM(tbAba01[VALOR])</f>
        <v>0</v>
      </c>
    </row>
    <row r="9" spans="1:9" x14ac:dyDescent="0.2">
      <c r="B9" s="92" t="s">
        <v>38</v>
      </c>
      <c r="C9" s="18" t="s">
        <v>39</v>
      </c>
      <c r="D9" s="24" t="s">
        <v>119</v>
      </c>
      <c r="E9" s="25" t="s">
        <v>120</v>
      </c>
      <c r="F9" s="26" t="s">
        <v>52</v>
      </c>
      <c r="G9" s="17" t="s">
        <v>121</v>
      </c>
      <c r="H9" s="27" t="s">
        <v>53</v>
      </c>
      <c r="I9" s="17" t="s">
        <v>41</v>
      </c>
    </row>
    <row r="10" spans="1:9" x14ac:dyDescent="0.2">
      <c r="B10" s="18">
        <f>IF(ISNUMBER(B9),B9+1,1)</f>
        <v>1</v>
      </c>
      <c r="C10" s="23"/>
      <c r="D10" s="61"/>
      <c r="E10" s="32"/>
      <c r="F10" s="21"/>
      <c r="G10" s="26"/>
      <c r="H10" s="17"/>
      <c r="I10" s="27"/>
    </row>
  </sheetData>
  <mergeCells count="9">
    <mergeCell ref="B7:I7"/>
    <mergeCell ref="B8:H8"/>
    <mergeCell ref="B2:C2"/>
    <mergeCell ref="B3:C3"/>
    <mergeCell ref="D3:I3"/>
    <mergeCell ref="B4:C4"/>
    <mergeCell ref="D4:I4"/>
    <mergeCell ref="D2:I2"/>
    <mergeCell ref="B6:I6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C10" sqref="C10:I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7.5703125" style="10" bestFit="1" customWidth="1"/>
    <col min="6" max="6" width="14.5703125" style="10" bestFit="1" customWidth="1"/>
    <col min="7" max="7" width="71.140625" style="10" bestFit="1" customWidth="1"/>
    <col min="8" max="8" width="15" style="10" bestFit="1" customWidth="1"/>
    <col min="9" max="9" width="9.42578125" style="10" bestFit="1" customWidth="1"/>
    <col min="10" max="16384" width="9.140625" style="10"/>
  </cols>
  <sheetData>
    <row r="1" spans="1:9" x14ac:dyDescent="0.2">
      <c r="A1" s="10">
        <v>2</v>
      </c>
    </row>
    <row r="2" spans="1:9" x14ac:dyDescent="0.2">
      <c r="B2" s="133" t="s">
        <v>4</v>
      </c>
      <c r="C2" s="133"/>
      <c r="D2" s="173" t="str">
        <f>Resumo!D5:K5</f>
        <v>ESTUDO APLICADO PARA FINS DE REVISÃO DO PLANO DIRETOR MUNICIPAL DE JUAZEIRO DO NORTE (PDM-JN)</v>
      </c>
      <c r="E2" s="173"/>
      <c r="F2" s="173">
        <f>Resumo!F5:M5</f>
        <v>0</v>
      </c>
      <c r="G2" s="173"/>
      <c r="H2" s="173">
        <f>Resumo!H5:O5</f>
        <v>0</v>
      </c>
      <c r="I2" s="173"/>
    </row>
    <row r="3" spans="1:9" x14ac:dyDescent="0.2">
      <c r="B3" s="133" t="s">
        <v>9</v>
      </c>
      <c r="C3" s="133"/>
      <c r="D3" s="174" t="str">
        <f>Resumo!D8:K8</f>
        <v>DIEGO COELHO DO NASCIMENTO</v>
      </c>
      <c r="E3" s="174"/>
      <c r="F3" s="174">
        <f>Resumo!F8:M8</f>
        <v>0</v>
      </c>
      <c r="G3" s="174"/>
      <c r="H3" s="174">
        <f>Resumo!H8:O8</f>
        <v>0</v>
      </c>
      <c r="I3" s="174"/>
    </row>
    <row r="4" spans="1:9" x14ac:dyDescent="0.2">
      <c r="B4" s="133" t="s">
        <v>5</v>
      </c>
      <c r="C4" s="133"/>
      <c r="D4" s="175" t="str">
        <f>CONCATENATE(TEXT(Resumo!H6,"dd/mm/aaa")," - ",TEXT(Resumo!I6,"dd/mm/aaa"))</f>
        <v>19/07/2021 - 30/06/2021</v>
      </c>
      <c r="E4" s="175"/>
      <c r="F4" s="175" t="str">
        <f>CONCATENATE(TEXT(Resumo!J6,"dd/mm/aaa")," - ",TEXT(Resumo!K6,"dd/mm/aaa"))</f>
        <v>00/01/1900 - 00/01/1900</v>
      </c>
      <c r="G4" s="175"/>
      <c r="H4" s="175" t="str">
        <f>CONCATENATE(TEXT(Resumo!L6,"dd/mm/aaa")," - ",TEXT(Resumo!M6,"dd/mm/aaa"))</f>
        <v>00/01/1900 - 00/01/1900</v>
      </c>
      <c r="I4" s="175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Resumo!C14</f>
        <v>ESTÁGIO</v>
      </c>
      <c r="C7" s="172"/>
      <c r="D7" s="172"/>
      <c r="E7" s="172"/>
      <c r="F7" s="172"/>
      <c r="G7" s="172"/>
      <c r="H7" s="172"/>
      <c r="I7" s="172"/>
    </row>
    <row r="8" spans="1:9" ht="13.5" thickTop="1" x14ac:dyDescent="0.2">
      <c r="B8" s="185" t="s">
        <v>37</v>
      </c>
      <c r="C8" s="185"/>
      <c r="D8" s="185"/>
      <c r="E8" s="185"/>
      <c r="F8" s="185"/>
      <c r="G8" s="185"/>
      <c r="H8" s="185"/>
      <c r="I8" s="60">
        <f>SUM(tbAba02[VALOR])</f>
        <v>0</v>
      </c>
    </row>
    <row r="9" spans="1:9" x14ac:dyDescent="0.2">
      <c r="B9" s="17" t="s">
        <v>38</v>
      </c>
      <c r="C9" s="17" t="s">
        <v>39</v>
      </c>
      <c r="D9" s="17" t="s">
        <v>119</v>
      </c>
      <c r="E9" s="17" t="s">
        <v>120</v>
      </c>
      <c r="F9" s="17" t="s">
        <v>122</v>
      </c>
      <c r="G9" s="17" t="s">
        <v>121</v>
      </c>
      <c r="H9" s="17" t="s">
        <v>123</v>
      </c>
      <c r="I9" s="17" t="s">
        <v>41</v>
      </c>
    </row>
    <row r="10" spans="1:9" x14ac:dyDescent="0.2">
      <c r="B10" s="18">
        <f>IF(ISNUMBER(B9),B9+1,1)</f>
        <v>1</v>
      </c>
      <c r="C10" s="19"/>
      <c r="D10" s="61"/>
      <c r="E10" s="24"/>
      <c r="F10" s="95"/>
      <c r="G10" s="26"/>
      <c r="H10" s="17"/>
      <c r="I10" s="62"/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showGridLines="0" showRowColHeaders="0" workbookViewId="0"/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10.85546875" style="10" bestFit="1" customWidth="1"/>
    <col min="5" max="5" width="13.28515625" style="10" bestFit="1" customWidth="1"/>
    <col min="6" max="6" width="10.5703125" style="10" bestFit="1" customWidth="1"/>
    <col min="7" max="7" width="10.5703125" style="10" customWidth="1"/>
    <col min="8" max="8" width="32.140625" style="10" bestFit="1" customWidth="1"/>
    <col min="9" max="9" width="15" style="10" bestFit="1" customWidth="1"/>
    <col min="10" max="10" width="8.5703125" style="10" bestFit="1" customWidth="1"/>
    <col min="11" max="16384" width="9.140625" style="10"/>
  </cols>
  <sheetData>
    <row r="2" spans="2:10" x14ac:dyDescent="0.2">
      <c r="B2" s="133" t="s">
        <v>34</v>
      </c>
      <c r="C2" s="133"/>
      <c r="D2" s="134" t="e">
        <f>CONCATENATE(contrato," - ",tipo_contrato)</f>
        <v>#NAME?</v>
      </c>
      <c r="E2" s="135"/>
      <c r="F2" s="135"/>
      <c r="G2" s="135"/>
      <c r="H2" s="135"/>
      <c r="I2" s="135"/>
      <c r="J2" s="136"/>
    </row>
    <row r="3" spans="2:10" x14ac:dyDescent="0.2">
      <c r="B3" s="133" t="s">
        <v>4</v>
      </c>
      <c r="C3" s="133"/>
      <c r="D3" s="176" t="e">
        <f>titulo</f>
        <v>#NAME?</v>
      </c>
      <c r="E3" s="177"/>
      <c r="F3" s="177"/>
      <c r="G3" s="177"/>
      <c r="H3" s="177"/>
      <c r="I3" s="177"/>
      <c r="J3" s="178"/>
    </row>
    <row r="4" spans="2:10" x14ac:dyDescent="0.2">
      <c r="B4" s="133" t="s">
        <v>9</v>
      </c>
      <c r="C4" s="133"/>
      <c r="D4" s="179" t="e">
        <f>coordenador</f>
        <v>#NAME?</v>
      </c>
      <c r="E4" s="180"/>
      <c r="F4" s="180"/>
      <c r="G4" s="180"/>
      <c r="H4" s="180"/>
      <c r="I4" s="180"/>
      <c r="J4" s="181"/>
    </row>
    <row r="5" spans="2:10" x14ac:dyDescent="0.2">
      <c r="B5" s="133" t="s">
        <v>5</v>
      </c>
      <c r="C5" s="133"/>
      <c r="D5" s="182" t="e">
        <f>CONCATENATE(TEXT(vigencia_inicial,"dd/mm/aaa")," - ",TEXT(vigencia_final,"dd/mm/aaa"))</f>
        <v>#NAME?</v>
      </c>
      <c r="E5" s="183"/>
      <c r="F5" s="183"/>
      <c r="G5" s="183"/>
      <c r="H5" s="183"/>
      <c r="I5" s="183"/>
      <c r="J5" s="184"/>
    </row>
    <row r="7" spans="2:10" x14ac:dyDescent="0.2">
      <c r="B7" s="171" t="s">
        <v>35</v>
      </c>
      <c r="C7" s="171"/>
      <c r="D7" s="171"/>
      <c r="E7" s="171"/>
      <c r="F7" s="171"/>
      <c r="G7" s="171"/>
      <c r="H7" s="171"/>
      <c r="I7" s="171"/>
      <c r="J7" s="171"/>
    </row>
    <row r="8" spans="2:10" ht="13.5" thickBot="1" x14ac:dyDescent="0.25">
      <c r="B8" s="172" t="s">
        <v>22</v>
      </c>
      <c r="C8" s="172"/>
      <c r="D8" s="172"/>
      <c r="E8" s="172"/>
      <c r="F8" s="172"/>
      <c r="G8" s="172"/>
      <c r="H8" s="172"/>
      <c r="I8" s="172"/>
      <c r="J8" s="172"/>
    </row>
    <row r="9" spans="2:10" ht="13.5" thickTop="1" x14ac:dyDescent="0.2">
      <c r="B9" s="185" t="s">
        <v>37</v>
      </c>
      <c r="C9" s="185"/>
      <c r="D9" s="185"/>
      <c r="E9" s="185"/>
      <c r="F9" s="185"/>
      <c r="G9" s="185"/>
      <c r="H9" s="185"/>
      <c r="I9" s="185"/>
      <c r="J9" s="5">
        <f>SUM(viagens[VALOR])</f>
        <v>0</v>
      </c>
    </row>
    <row r="10" spans="2:10" x14ac:dyDescent="0.2">
      <c r="B10" s="17" t="s">
        <v>38</v>
      </c>
      <c r="C10" s="17" t="s">
        <v>39</v>
      </c>
      <c r="D10" s="17" t="s">
        <v>50</v>
      </c>
      <c r="E10" s="17" t="s">
        <v>58</v>
      </c>
      <c r="F10" s="17" t="s">
        <v>59</v>
      </c>
      <c r="G10" s="17" t="s">
        <v>87</v>
      </c>
      <c r="H10" s="17" t="s">
        <v>40</v>
      </c>
      <c r="I10" s="17" t="s">
        <v>56</v>
      </c>
      <c r="J10" s="17" t="s">
        <v>41</v>
      </c>
    </row>
    <row r="11" spans="2:10" x14ac:dyDescent="0.2">
      <c r="B11" s="28">
        <v>1</v>
      </c>
      <c r="C11" s="29"/>
      <c r="D11" s="28"/>
      <c r="E11" s="21"/>
      <c r="F11" s="21"/>
      <c r="G11" s="21"/>
      <c r="H11" s="17"/>
      <c r="I11" s="17"/>
      <c r="J11" s="20"/>
    </row>
    <row r="12" spans="2:10" x14ac:dyDescent="0.2">
      <c r="B12" s="28"/>
      <c r="C12" s="29"/>
      <c r="D12" s="28"/>
      <c r="E12" s="21"/>
      <c r="F12" s="21"/>
      <c r="G12" s="21"/>
      <c r="H12" s="17"/>
      <c r="I12" s="17"/>
      <c r="J12" s="20"/>
    </row>
    <row r="13" spans="2:10" x14ac:dyDescent="0.2">
      <c r="B13" s="28"/>
      <c r="J13" s="27"/>
    </row>
    <row r="14" spans="2:10" x14ac:dyDescent="0.2">
      <c r="B14" s="28"/>
      <c r="C14" s="29"/>
      <c r="D14" s="28"/>
      <c r="E14" s="21"/>
      <c r="F14" s="21"/>
      <c r="G14" s="21"/>
      <c r="H14" s="17"/>
      <c r="I14" s="17"/>
      <c r="J14" s="20"/>
    </row>
  </sheetData>
  <mergeCells count="11">
    <mergeCell ref="B2:C2"/>
    <mergeCell ref="D2:J2"/>
    <mergeCell ref="B3:C3"/>
    <mergeCell ref="D3:J3"/>
    <mergeCell ref="B4:C4"/>
    <mergeCell ref="D4:J4"/>
    <mergeCell ref="B5:C5"/>
    <mergeCell ref="D5:J5"/>
    <mergeCell ref="B7:J7"/>
    <mergeCell ref="B8:J8"/>
    <mergeCell ref="B9:I9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C10" sqref="C10:I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8.7109375" style="10" bestFit="1" customWidth="1"/>
    <col min="4" max="4" width="7" style="10" bestFit="1" customWidth="1"/>
    <col min="5" max="5" width="19.140625" style="10" bestFit="1" customWidth="1"/>
    <col min="6" max="6" width="9.85546875" style="10" bestFit="1" customWidth="1"/>
    <col min="7" max="7" width="59" style="10" bestFit="1" customWidth="1"/>
    <col min="8" max="8" width="16.140625" style="10" bestFit="1" customWidth="1"/>
    <col min="9" max="9" width="9.85546875" style="10" bestFit="1" customWidth="1"/>
    <col min="10" max="16384" width="9.140625" style="10"/>
  </cols>
  <sheetData>
    <row r="1" spans="1:9" x14ac:dyDescent="0.2">
      <c r="A1" s="10">
        <v>3</v>
      </c>
    </row>
    <row r="2" spans="1:9" ht="15" customHeight="1" x14ac:dyDescent="0.2">
      <c r="B2" s="133" t="s">
        <v>4</v>
      </c>
      <c r="C2" s="133"/>
      <c r="D2" s="176" t="str">
        <f>Resumo!D5:K5</f>
        <v>ESTUDO APLICADO PARA FINS DE REVISÃO DO PLANO DIRETOR MUNICIPAL DE JUAZEIRO DO NORTE (PDM-JN)</v>
      </c>
      <c r="E2" s="177"/>
      <c r="F2" s="177">
        <f>Resumo!F5:M5</f>
        <v>0</v>
      </c>
      <c r="G2" s="177"/>
      <c r="H2" s="177">
        <f>Resumo!H5:O5</f>
        <v>0</v>
      </c>
      <c r="I2" s="177"/>
    </row>
    <row r="3" spans="1:9" ht="15" customHeight="1" x14ac:dyDescent="0.2">
      <c r="B3" s="133" t="s">
        <v>9</v>
      </c>
      <c r="C3" s="133"/>
      <c r="D3" s="179" t="str">
        <f>Resumo!D8:K8</f>
        <v>DIEGO COELHO DO NASCIMENTO</v>
      </c>
      <c r="E3" s="180"/>
      <c r="F3" s="180">
        <f>Resumo!F8:M8</f>
        <v>0</v>
      </c>
      <c r="G3" s="180"/>
      <c r="H3" s="180">
        <f>Resumo!H8:O8</f>
        <v>0</v>
      </c>
      <c r="I3" s="180"/>
    </row>
    <row r="4" spans="1:9" ht="15" customHeight="1" x14ac:dyDescent="0.2">
      <c r="B4" s="133" t="s">
        <v>5</v>
      </c>
      <c r="C4" s="133"/>
      <c r="D4" s="182" t="str">
        <f>CONCATENATE(TEXT(Resumo!H6,"dd/mm/aaa")," - ",TEXT(Resumo!I6,"dd/mm/aaa"))</f>
        <v>19/07/2021 - 30/06/2021</v>
      </c>
      <c r="E4" s="183"/>
      <c r="F4" s="183" t="str">
        <f>CONCATENATE(TEXT(Resumo!J6,"dd/mm/aaa")," - ",TEXT(Resumo!K6,"dd/mm/aaa"))</f>
        <v>00/01/1900 - 00/01/1900</v>
      </c>
      <c r="G4" s="183"/>
      <c r="H4" s="183" t="str">
        <f>CONCATENATE(TEXT(Resumo!L6,"dd/mm/aaa")," - ",TEXT(Resumo!M6,"dd/mm/aaa"))</f>
        <v>00/01/1900 - 00/01/1900</v>
      </c>
      <c r="I4" s="183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Resumo!C15</f>
        <v>P. JURIDICA</v>
      </c>
      <c r="C7" s="172"/>
      <c r="D7" s="172"/>
      <c r="E7" s="172"/>
      <c r="F7" s="172"/>
      <c r="G7" s="172"/>
      <c r="H7" s="172"/>
      <c r="I7" s="172"/>
    </row>
    <row r="8" spans="1:9" ht="15.75" customHeight="1" thickTop="1" x14ac:dyDescent="0.25">
      <c r="B8" s="170" t="s">
        <v>37</v>
      </c>
      <c r="C8" s="170"/>
      <c r="D8" s="170"/>
      <c r="E8" s="170"/>
      <c r="F8" s="170"/>
      <c r="G8" s="170"/>
      <c r="H8" s="170"/>
      <c r="I8" s="106">
        <f>SUM(I10:I10)</f>
        <v>0</v>
      </c>
    </row>
    <row r="9" spans="1:9" x14ac:dyDescent="0.2">
      <c r="B9" s="17" t="s">
        <v>38</v>
      </c>
      <c r="C9" s="17" t="s">
        <v>39</v>
      </c>
      <c r="D9" s="17" t="s">
        <v>119</v>
      </c>
      <c r="E9" s="17" t="s">
        <v>120</v>
      </c>
      <c r="F9" s="17" t="s">
        <v>122</v>
      </c>
      <c r="G9" s="17" t="s">
        <v>121</v>
      </c>
      <c r="H9" s="17" t="s">
        <v>123</v>
      </c>
      <c r="I9" s="17" t="s">
        <v>41</v>
      </c>
    </row>
    <row r="10" spans="1:9" x14ac:dyDescent="0.2">
      <c r="B10" s="28">
        <f>IF(ISNUMBER(B9),B9+1,1)</f>
        <v>1</v>
      </c>
      <c r="C10" s="58"/>
      <c r="D10" s="95"/>
      <c r="E10" s="61"/>
      <c r="F10" s="97"/>
      <c r="G10" s="96"/>
      <c r="H10" s="94"/>
      <c r="I10" s="94"/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20</vt:i4>
      </vt:variant>
    </vt:vector>
  </HeadingPairs>
  <TitlesOfParts>
    <vt:vector size="33" baseType="lpstr">
      <vt:lpstr>Resumo</vt:lpstr>
      <vt:lpstr>Resumo (2)</vt:lpstr>
      <vt:lpstr>Orçamento</vt:lpstr>
      <vt:lpstr>TB</vt:lpstr>
      <vt:lpstr>Aplicação</vt:lpstr>
      <vt:lpstr>01</vt:lpstr>
      <vt:lpstr>02</vt:lpstr>
      <vt:lpstr>Viagens</vt:lpstr>
      <vt:lpstr>03</vt:lpstr>
      <vt:lpstr>04</vt:lpstr>
      <vt:lpstr>05</vt:lpstr>
      <vt:lpstr>06</vt:lpstr>
      <vt:lpstr>CLT - custo</vt:lpstr>
      <vt:lpstr>'Resumo (2)'!Area_de_impressao</vt:lpstr>
      <vt:lpstr>'Resumo (2)'!conta_corrente</vt:lpstr>
      <vt:lpstr>'Resumo (2)'!coordenador</vt:lpstr>
      <vt:lpstr>'Resumo (2)'!financiador</vt:lpstr>
      <vt:lpstr>'Resumo (2)'!interveniente</vt:lpstr>
      <vt:lpstr>'Resumo (2)'!titulo</vt:lpstr>
      <vt:lpstr>total01</vt:lpstr>
      <vt:lpstr>total02</vt:lpstr>
      <vt:lpstr>'05'!total04</vt:lpstr>
      <vt:lpstr>'06'!total04</vt:lpstr>
      <vt:lpstr>total04</vt:lpstr>
      <vt:lpstr>totalDespesas</vt:lpstr>
      <vt:lpstr>totalRecebimentos</vt:lpstr>
      <vt:lpstr>totalRendimentoLiquido</vt:lpstr>
      <vt:lpstr>totalTarifasBancarias</vt:lpstr>
      <vt:lpstr>'05'!totalUtilizado</vt:lpstr>
      <vt:lpstr>'06'!totalUtilizado</vt:lpstr>
      <vt:lpstr>totalUtilizado</vt:lpstr>
      <vt:lpstr>'Resumo (2)'!vigencia_final</vt:lpstr>
      <vt:lpstr>'Resumo (2)'!vigencia_inicial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FASTEF</dc:creator>
  <cp:lastModifiedBy>FASTEF</cp:lastModifiedBy>
  <cp:lastPrinted>2020-12-18T19:07:25Z</cp:lastPrinted>
  <dcterms:created xsi:type="dcterms:W3CDTF">2020-09-08T19:39:38Z</dcterms:created>
  <dcterms:modified xsi:type="dcterms:W3CDTF">2021-07-31T23:49:25Z</dcterms:modified>
</cp:coreProperties>
</file>