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docs.live.net/b97d925934a0c853/DINFRA_2024/3-GESTAO/8-SPIUNET/Quantitativos/"/>
    </mc:Choice>
  </mc:AlternateContent>
  <xr:revisionPtr revIDLastSave="53" documentId="8_{4B475571-61DF-42E4-8609-EC28178C0959}" xr6:coauthVersionLast="47" xr6:coauthVersionMax="47" xr10:uidLastSave="{ED4B4127-7274-4478-B51E-BFE6CA1F2F98}"/>
  <bookViews>
    <workbookView xWindow="28680" yWindow="-120" windowWidth="29040" windowHeight="15720" tabRatio="933" xr2:uid="{A2197048-3EAA-405A-91D8-E001B907DF9C}"/>
  </bookViews>
  <sheets>
    <sheet name="CAPA" sheetId="20" r:id="rId1"/>
    <sheet name="UFCA - edificações" sheetId="22" r:id="rId2"/>
    <sheet name="UFCA - Terrenos" sheetId="23" r:id="rId3"/>
    <sheet name="CPA-resumo" sheetId="21" r:id="rId4"/>
    <sheet name="UFCA - BA" sheetId="1" r:id="rId5"/>
    <sheet name="UFCA - CR" sheetId="2" r:id="rId6"/>
    <sheet name="UFCA - JN" sheetId="6" r:id="rId7"/>
    <sheet name="UFCA - BS" sheetId="5" r:id="rId8"/>
    <sheet name="UFCA - ICÓ (SPU)" sheetId="24" r:id="rId9"/>
    <sheet name="TOTAL - BA" sheetId="11" r:id="rId10"/>
    <sheet name="TOTAL - CR" sheetId="12" r:id="rId11"/>
    <sheet name="TOTAL - JN" sheetId="7" r:id="rId12"/>
    <sheet name="TOTAL - BS" sheetId="14" r:id="rId13"/>
    <sheet name="TOTAL - ICÓ" sheetId="34" r:id="rId14"/>
    <sheet name="Criterios" sheetId="10" r:id="rId15"/>
    <sheet name="TOTAL - GERAL" sheetId="15" r:id="rId16"/>
    <sheet name="TOTAL-USOS" sheetId="19" r:id="rId17"/>
    <sheet name="JN-SPIUNET" sheetId="25" r:id="rId18"/>
    <sheet name="BA-SPIUNET.1" sheetId="31" r:id="rId19"/>
    <sheet name="BA-SPIUNET" sheetId="27" r:id="rId20"/>
    <sheet name="CR-SPIUNET" sheetId="32" r:id="rId21"/>
    <sheet name="CR-SPIUNET.1" sheetId="29" r:id="rId22"/>
    <sheet name="BS-SPIUNET" sheetId="26" r:id="rId23"/>
    <sheet name="ICÓ-SPIUNET" sheetId="28" r:id="rId24"/>
    <sheet name="Planilha1" sheetId="33" r:id="rId25"/>
    <sheet name="JN-ESQ" sheetId="35" r:id="rId26"/>
    <sheet name="CR-ESQ" sheetId="36" r:id="rId27"/>
    <sheet name="BA-ESQ" sheetId="37" r:id="rId28"/>
    <sheet name="BS-ESQ" sheetId="38" r:id="rId29"/>
  </sheets>
  <definedNames>
    <definedName name="_xlnm._FilterDatabase" localSheetId="4" hidden="1">'UFCA - BA'!$C$1:$O$249</definedName>
    <definedName name="_xlnm._FilterDatabase" localSheetId="7" hidden="1">'UFCA - BS'!$F$1:$N$129</definedName>
    <definedName name="_xlnm._FilterDatabase" localSheetId="5" hidden="1">'UFCA - CR'!$C$1:$O$330</definedName>
    <definedName name="_xlnm._FilterDatabase" localSheetId="8" hidden="1">'UFCA - ICÓ (SPU)'!$F$1:$F$101</definedName>
    <definedName name="_xlnm._FilterDatabase" localSheetId="6" hidden="1">'UFCA - JN'!$C$1:$S$1149</definedName>
    <definedName name="_xlnm.Print_Area" localSheetId="19">'BA-SPIUNET'!$A$1:$AF$82</definedName>
    <definedName name="_xlnm.Print_Area" localSheetId="18">'BA-SPIUNET.1'!$A$1:$AA$82</definedName>
    <definedName name="_xlnm.Print_Area" localSheetId="0">CAPA!$A$1:$F$36</definedName>
    <definedName name="_xlnm.Print_Area" localSheetId="14">Criterios!$A$1:$I$28</definedName>
    <definedName name="_xlnm.Print_Area" localSheetId="20">'CR-SPIUNET'!$A$1:$BD$108</definedName>
    <definedName name="_xlnm.Print_Area" localSheetId="17">'JN-SPIUNET'!$A$1:$BW$137</definedName>
    <definedName name="_xlnm.Print_Area" localSheetId="9">'TOTAL - BA'!$A$1:$I$19</definedName>
    <definedName name="_xlnm.Print_Area" localSheetId="12">'TOTAL - BS'!$A$1:$H$14</definedName>
    <definedName name="_xlnm.Print_Area" localSheetId="10">'TOTAL - CR'!$A$1:$I$78</definedName>
    <definedName name="_xlnm.Print_Area" localSheetId="15">'TOTAL - GERAL'!$A$1:$F$72</definedName>
    <definedName name="_xlnm.Print_Area" localSheetId="13">'TOTAL - ICÓ'!$A$1:$H$13</definedName>
    <definedName name="_xlnm.Print_Area" localSheetId="11">'TOTAL - JN'!$A$1:$I$112</definedName>
    <definedName name="_xlnm.Print_Area" localSheetId="16">'TOTAL-USOS'!$A$1:$H$59</definedName>
    <definedName name="_xlnm.Print_Area" localSheetId="4">'UFCA - BA'!$C$1:$N$230</definedName>
    <definedName name="_xlnm.Print_Area" localSheetId="7">'UFCA - BS'!$C$1:$N$69</definedName>
    <definedName name="_xlnm.Print_Area" localSheetId="5">'UFCA - CR'!$C$1:$N$319</definedName>
    <definedName name="_xlnm.Print_Area" localSheetId="1">'UFCA - edificações'!$A$1:$L$73</definedName>
    <definedName name="_xlnm.Print_Area" localSheetId="8">'UFCA - ICÓ (SPU)'!$C$1:$O$36</definedName>
    <definedName name="_xlnm.Print_Area" localSheetId="6">'UFCA - JN'!$F$1:$R$924</definedName>
    <definedName name="_xlnm.Print_Titles" localSheetId="4">'UFCA - BA'!$3:$3</definedName>
    <definedName name="_xlnm.Print_Titles" localSheetId="7">'UFCA - BS'!$3:$3</definedName>
    <definedName name="_xlnm.Print_Titles" localSheetId="5">'UFCA - CR'!$3:$3</definedName>
    <definedName name="_xlnm.Print_Titles" localSheetId="8">'UFCA - ICÓ (SPU)'!$3:$3</definedName>
    <definedName name="_xlnm.Print_Titles" localSheetId="6">'UFCA - JN'!$3:$3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301" i="6" l="1"/>
  <c r="W280" i="6"/>
  <c r="W291" i="6"/>
  <c r="F136" i="22"/>
  <c r="E144" i="22"/>
  <c r="F143" i="22"/>
  <c r="F142" i="22"/>
  <c r="F141" i="22"/>
  <c r="F140" i="22"/>
  <c r="F139" i="22"/>
  <c r="F138" i="22"/>
  <c r="F135" i="22"/>
  <c r="F134" i="22"/>
  <c r="F145" i="22" s="1"/>
  <c r="C69" i="15"/>
  <c r="E69" i="15"/>
  <c r="F69" i="15"/>
  <c r="B69" i="15"/>
  <c r="E45" i="15"/>
  <c r="F45" i="15"/>
  <c r="C68" i="15"/>
  <c r="E68" i="15"/>
  <c r="F68" i="15"/>
  <c r="C44" i="15"/>
  <c r="E44" i="15"/>
  <c r="F44" i="15"/>
  <c r="C20" i="15"/>
  <c r="E20" i="15"/>
  <c r="F20" i="15"/>
  <c r="C5" i="36"/>
  <c r="D5" i="36"/>
  <c r="E5" i="36"/>
  <c r="C9" i="15" s="1"/>
  <c r="F5" i="36"/>
  <c r="B5" i="36"/>
  <c r="C8" i="15" s="1"/>
  <c r="C24" i="36"/>
  <c r="D24" i="36"/>
  <c r="E24" i="36"/>
  <c r="F24" i="36"/>
  <c r="C60" i="15" s="1"/>
  <c r="B24" i="36"/>
  <c r="C56" i="15" s="1"/>
  <c r="C14" i="36"/>
  <c r="D14" i="36"/>
  <c r="E14" i="36"/>
  <c r="C33" i="15" s="1"/>
  <c r="F14" i="36"/>
  <c r="C36" i="15" s="1"/>
  <c r="B14" i="36"/>
  <c r="C32" i="15" s="1"/>
  <c r="C35" i="15"/>
  <c r="C34" i="15"/>
  <c r="C59" i="15"/>
  <c r="C58" i="15"/>
  <c r="C57" i="15"/>
  <c r="D59" i="15"/>
  <c r="D58" i="15"/>
  <c r="D57" i="15"/>
  <c r="D56" i="15"/>
  <c r="D35" i="15"/>
  <c r="D34" i="15"/>
  <c r="D33" i="15"/>
  <c r="D32" i="15"/>
  <c r="E71" i="15"/>
  <c r="F71" i="15"/>
  <c r="B71" i="15"/>
  <c r="C70" i="15"/>
  <c r="E70" i="15"/>
  <c r="F70" i="15"/>
  <c r="B70" i="15"/>
  <c r="B44" i="15"/>
  <c r="E47" i="15"/>
  <c r="F47" i="15"/>
  <c r="B47" i="15"/>
  <c r="C46" i="15"/>
  <c r="E46" i="15"/>
  <c r="F46" i="15"/>
  <c r="B46" i="15"/>
  <c r="B45" i="15"/>
  <c r="C22" i="15"/>
  <c r="E22" i="15"/>
  <c r="F22" i="15"/>
  <c r="E21" i="15"/>
  <c r="F21" i="15"/>
  <c r="B21" i="15"/>
  <c r="B68" i="15"/>
  <c r="E54" i="15"/>
  <c r="F54" i="15"/>
  <c r="C55" i="15"/>
  <c r="E55" i="15"/>
  <c r="F55" i="15"/>
  <c r="B55" i="15"/>
  <c r="B54" i="15"/>
  <c r="C61" i="15"/>
  <c r="D61" i="15"/>
  <c r="E61" i="15"/>
  <c r="F61" i="15"/>
  <c r="B61" i="15"/>
  <c r="C37" i="15"/>
  <c r="D37" i="15"/>
  <c r="E37" i="15"/>
  <c r="F37" i="15"/>
  <c r="B37" i="15"/>
  <c r="B60" i="15"/>
  <c r="E59" i="15"/>
  <c r="B59" i="15"/>
  <c r="F58" i="15"/>
  <c r="E58" i="15"/>
  <c r="B58" i="15"/>
  <c r="E57" i="15"/>
  <c r="B57" i="15"/>
  <c r="F56" i="15"/>
  <c r="E56" i="15"/>
  <c r="B56" i="15"/>
  <c r="B36" i="15"/>
  <c r="E35" i="15"/>
  <c r="B35" i="15"/>
  <c r="F34" i="15"/>
  <c r="E34" i="15"/>
  <c r="B34" i="15"/>
  <c r="E33" i="15"/>
  <c r="B33" i="15"/>
  <c r="F32" i="15"/>
  <c r="E32" i="15"/>
  <c r="B32" i="15"/>
  <c r="C12" i="15"/>
  <c r="B12" i="15"/>
  <c r="E11" i="15"/>
  <c r="D11" i="15"/>
  <c r="C11" i="15"/>
  <c r="B11" i="15"/>
  <c r="F10" i="15"/>
  <c r="E10" i="15"/>
  <c r="D10" i="15"/>
  <c r="C10" i="15"/>
  <c r="B10" i="15"/>
  <c r="E9" i="15"/>
  <c r="D9" i="15"/>
  <c r="B9" i="15"/>
  <c r="F8" i="15"/>
  <c r="E8" i="15"/>
  <c r="D8" i="15"/>
  <c r="B8" i="15"/>
  <c r="E31" i="15"/>
  <c r="F31" i="15"/>
  <c r="B31" i="15"/>
  <c r="E30" i="15"/>
  <c r="F30" i="15"/>
  <c r="B30" i="15"/>
  <c r="E23" i="15"/>
  <c r="F23" i="15"/>
  <c r="B22" i="15"/>
  <c r="F144" i="22" l="1"/>
  <c r="F104" i="22"/>
  <c r="F105" i="22"/>
  <c r="F106" i="22"/>
  <c r="F107" i="22"/>
  <c r="F108" i="22"/>
  <c r="F109" i="22"/>
  <c r="F110" i="22"/>
  <c r="F111" i="22"/>
  <c r="F112" i="22"/>
  <c r="F114" i="22"/>
  <c r="F115" i="22"/>
  <c r="F116" i="22"/>
  <c r="F117" i="22"/>
  <c r="F118" i="22"/>
  <c r="F119" i="22"/>
  <c r="F120" i="22"/>
  <c r="F121" i="22"/>
  <c r="F122" i="22"/>
  <c r="F123" i="22"/>
  <c r="F124" i="22"/>
  <c r="F125" i="22"/>
  <c r="F126" i="22"/>
  <c r="F127" i="22"/>
  <c r="F128" i="22"/>
  <c r="F129" i="22"/>
  <c r="F130" i="22"/>
  <c r="F131" i="22"/>
  <c r="F132" i="22"/>
  <c r="E113" i="22"/>
  <c r="F113" i="22" s="1"/>
  <c r="F77" i="22"/>
  <c r="F78" i="22"/>
  <c r="F79" i="22"/>
  <c r="F80" i="22"/>
  <c r="F81" i="22"/>
  <c r="F82" i="22"/>
  <c r="F83" i="22"/>
  <c r="F84" i="22"/>
  <c r="F85" i="22"/>
  <c r="F86" i="22"/>
  <c r="F87" i="22"/>
  <c r="F88" i="22"/>
  <c r="F89" i="22"/>
  <c r="F90" i="22"/>
  <c r="F91" i="22"/>
  <c r="F92" i="22"/>
  <c r="F93" i="22"/>
  <c r="F94" i="22"/>
  <c r="F95" i="22"/>
  <c r="F96" i="22"/>
  <c r="F97" i="22"/>
  <c r="F98" i="22"/>
  <c r="F99" i="22"/>
  <c r="F100" i="22"/>
  <c r="F101" i="22"/>
  <c r="F102" i="22"/>
  <c r="F103" i="22"/>
  <c r="F76" i="22"/>
  <c r="D18" i="11"/>
  <c r="B18" i="11"/>
  <c r="D57" i="19"/>
  <c r="G55" i="19"/>
  <c r="F55" i="19"/>
  <c r="F56" i="19" s="1"/>
  <c r="D55" i="19"/>
  <c r="D54" i="19"/>
  <c r="G53" i="19"/>
  <c r="F53" i="19"/>
  <c r="D53" i="19"/>
  <c r="G52" i="19"/>
  <c r="G56" i="19" s="1"/>
  <c r="F52" i="19"/>
  <c r="D52" i="19"/>
  <c r="D56" i="19" s="1"/>
  <c r="G50" i="19"/>
  <c r="F50" i="19"/>
  <c r="G49" i="19"/>
  <c r="F49" i="19"/>
  <c r="G48" i="19"/>
  <c r="F48" i="19"/>
  <c r="G47" i="19"/>
  <c r="F47" i="19"/>
  <c r="G46" i="19"/>
  <c r="G51" i="19" s="1"/>
  <c r="F46" i="19"/>
  <c r="F51" i="19" s="1"/>
  <c r="G35" i="19"/>
  <c r="F35" i="19"/>
  <c r="G33" i="19"/>
  <c r="F33" i="19"/>
  <c r="G32" i="19"/>
  <c r="G36" i="19" s="1"/>
  <c r="F32" i="19"/>
  <c r="G30" i="19"/>
  <c r="F30" i="19"/>
  <c r="G29" i="19"/>
  <c r="F29" i="19"/>
  <c r="G28" i="19"/>
  <c r="F28" i="19"/>
  <c r="G27" i="19"/>
  <c r="F27" i="19"/>
  <c r="G26" i="19"/>
  <c r="G31" i="19" s="1"/>
  <c r="F26" i="19"/>
  <c r="G15" i="19"/>
  <c r="F15" i="19"/>
  <c r="D15" i="19"/>
  <c r="D14" i="19"/>
  <c r="D34" i="19" s="1"/>
  <c r="G13" i="19"/>
  <c r="F13" i="19"/>
  <c r="G12" i="19"/>
  <c r="G16" i="19" s="1"/>
  <c r="F7" i="15" s="1"/>
  <c r="F12" i="19"/>
  <c r="D12" i="19"/>
  <c r="G10" i="19"/>
  <c r="F10" i="19"/>
  <c r="G9" i="19"/>
  <c r="F9" i="19"/>
  <c r="G8" i="19"/>
  <c r="F8" i="19"/>
  <c r="G7" i="19"/>
  <c r="F7" i="19"/>
  <c r="G6" i="19"/>
  <c r="F6" i="19"/>
  <c r="H71" i="12"/>
  <c r="B112" i="7"/>
  <c r="E109" i="7"/>
  <c r="E54" i="19" s="1"/>
  <c r="D109" i="7"/>
  <c r="E53" i="19" s="1"/>
  <c r="E70" i="7"/>
  <c r="E34" i="19" s="1"/>
  <c r="D70" i="7"/>
  <c r="E33" i="19" s="1"/>
  <c r="K102" i="7"/>
  <c r="F102" i="7"/>
  <c r="M101" i="7"/>
  <c r="K101" i="7"/>
  <c r="G101" i="7"/>
  <c r="F101" i="7"/>
  <c r="D101" i="7"/>
  <c r="C101" i="7"/>
  <c r="M100" i="7"/>
  <c r="K100" i="7"/>
  <c r="G100" i="7"/>
  <c r="F100" i="7"/>
  <c r="D100" i="7"/>
  <c r="C100" i="7"/>
  <c r="M99" i="7"/>
  <c r="K99" i="7"/>
  <c r="G99" i="7"/>
  <c r="C99" i="7"/>
  <c r="M98" i="7"/>
  <c r="G97" i="7"/>
  <c r="F97" i="7"/>
  <c r="M96" i="7"/>
  <c r="K96" i="7"/>
  <c r="G96" i="7"/>
  <c r="F96" i="7"/>
  <c r="B96" i="7"/>
  <c r="M95" i="7"/>
  <c r="K95" i="7"/>
  <c r="G95" i="7"/>
  <c r="F95" i="7"/>
  <c r="C95" i="7"/>
  <c r="B95" i="7"/>
  <c r="M94" i="7"/>
  <c r="K94" i="7"/>
  <c r="G94" i="7"/>
  <c r="F94" i="7"/>
  <c r="D94" i="7"/>
  <c r="B94" i="7"/>
  <c r="M93" i="7"/>
  <c r="K93" i="7"/>
  <c r="G93" i="7"/>
  <c r="F93" i="7"/>
  <c r="C93" i="7"/>
  <c r="B93" i="7"/>
  <c r="M92" i="7"/>
  <c r="K92" i="7"/>
  <c r="G92" i="7"/>
  <c r="F92" i="7"/>
  <c r="D92" i="7"/>
  <c r="C92" i="7"/>
  <c r="B92" i="7"/>
  <c r="M91" i="7"/>
  <c r="K91" i="7"/>
  <c r="G91" i="7"/>
  <c r="F91" i="7"/>
  <c r="D91" i="7"/>
  <c r="C91" i="7"/>
  <c r="B91" i="7"/>
  <c r="M90" i="7"/>
  <c r="K90" i="7"/>
  <c r="F90" i="7"/>
  <c r="E90" i="7"/>
  <c r="B90" i="7"/>
  <c r="M89" i="7"/>
  <c r="K89" i="7"/>
  <c r="G89" i="7"/>
  <c r="F89" i="7"/>
  <c r="C89" i="7"/>
  <c r="B89" i="7"/>
  <c r="M88" i="7"/>
  <c r="K88" i="7"/>
  <c r="G88" i="7"/>
  <c r="F88" i="7"/>
  <c r="C88" i="7"/>
  <c r="B88" i="7"/>
  <c r="G87" i="7"/>
  <c r="D87" i="7"/>
  <c r="C87" i="7"/>
  <c r="B87" i="7"/>
  <c r="M86" i="7"/>
  <c r="K86" i="7"/>
  <c r="G86" i="7"/>
  <c r="F86" i="7"/>
  <c r="E86" i="7"/>
  <c r="D86" i="7"/>
  <c r="C86" i="7"/>
  <c r="B86" i="7"/>
  <c r="G85" i="7"/>
  <c r="D85" i="7"/>
  <c r="C85" i="7"/>
  <c r="B85" i="7"/>
  <c r="F84" i="7"/>
  <c r="C84" i="7"/>
  <c r="B84" i="7"/>
  <c r="G83" i="7"/>
  <c r="D83" i="7"/>
  <c r="C83" i="7"/>
  <c r="B83" i="7"/>
  <c r="G82" i="7"/>
  <c r="F82" i="7"/>
  <c r="C82" i="7"/>
  <c r="B82" i="7"/>
  <c r="M81" i="7"/>
  <c r="K81" i="7"/>
  <c r="G81" i="7"/>
  <c r="F81" i="7"/>
  <c r="D81" i="7"/>
  <c r="C81" i="7"/>
  <c r="B81" i="7"/>
  <c r="K64" i="7"/>
  <c r="F64" i="7"/>
  <c r="H102" i="7" s="1"/>
  <c r="M63" i="7"/>
  <c r="K63" i="7"/>
  <c r="G63" i="7"/>
  <c r="F63" i="7"/>
  <c r="D63" i="7"/>
  <c r="C63" i="7"/>
  <c r="M62" i="7"/>
  <c r="K62" i="7"/>
  <c r="G62" i="7"/>
  <c r="F62" i="7"/>
  <c r="D62" i="7"/>
  <c r="C62" i="7"/>
  <c r="M61" i="7"/>
  <c r="K61" i="7"/>
  <c r="G61" i="7"/>
  <c r="C61" i="7"/>
  <c r="M60" i="7"/>
  <c r="G59" i="7"/>
  <c r="F59" i="7"/>
  <c r="M58" i="7"/>
  <c r="K58" i="7"/>
  <c r="G58" i="7"/>
  <c r="F58" i="7"/>
  <c r="B58" i="7"/>
  <c r="M57" i="7"/>
  <c r="K57" i="7"/>
  <c r="G57" i="7"/>
  <c r="F57" i="7"/>
  <c r="C57" i="7"/>
  <c r="B57" i="7"/>
  <c r="M56" i="7"/>
  <c r="K56" i="7"/>
  <c r="G56" i="7"/>
  <c r="F56" i="7"/>
  <c r="D56" i="7"/>
  <c r="B56" i="7"/>
  <c r="M55" i="7"/>
  <c r="K55" i="7"/>
  <c r="G55" i="7"/>
  <c r="F55" i="7"/>
  <c r="C55" i="7"/>
  <c r="B55" i="7"/>
  <c r="M54" i="7"/>
  <c r="K54" i="7"/>
  <c r="G54" i="7"/>
  <c r="F54" i="7"/>
  <c r="D54" i="7"/>
  <c r="C54" i="7"/>
  <c r="B54" i="7"/>
  <c r="M53" i="7"/>
  <c r="K53" i="7"/>
  <c r="G53" i="7"/>
  <c r="F53" i="7"/>
  <c r="D53" i="7"/>
  <c r="C53" i="7"/>
  <c r="B53" i="7"/>
  <c r="M52" i="7"/>
  <c r="K52" i="7"/>
  <c r="F52" i="7"/>
  <c r="E52" i="7"/>
  <c r="B52" i="7"/>
  <c r="M51" i="7"/>
  <c r="K51" i="7"/>
  <c r="G51" i="7"/>
  <c r="F51" i="7"/>
  <c r="C51" i="7"/>
  <c r="B51" i="7"/>
  <c r="M50" i="7"/>
  <c r="K50" i="7"/>
  <c r="G50" i="7"/>
  <c r="F50" i="7"/>
  <c r="C50" i="7"/>
  <c r="B50" i="7"/>
  <c r="G49" i="7"/>
  <c r="D49" i="7"/>
  <c r="C49" i="7"/>
  <c r="B49" i="7"/>
  <c r="M48" i="7"/>
  <c r="K48" i="7"/>
  <c r="G48" i="7"/>
  <c r="F48" i="7"/>
  <c r="E48" i="7"/>
  <c r="D48" i="7"/>
  <c r="C48" i="7"/>
  <c r="B48" i="7"/>
  <c r="G47" i="7"/>
  <c r="D47" i="7"/>
  <c r="C47" i="7"/>
  <c r="B47" i="7"/>
  <c r="F46" i="7"/>
  <c r="C46" i="7"/>
  <c r="B46" i="7"/>
  <c r="G45" i="7"/>
  <c r="D45" i="7"/>
  <c r="C45" i="7"/>
  <c r="B45" i="7"/>
  <c r="G44" i="7"/>
  <c r="F44" i="7"/>
  <c r="C44" i="7"/>
  <c r="B44" i="7"/>
  <c r="M43" i="7"/>
  <c r="K43" i="7"/>
  <c r="G43" i="7"/>
  <c r="F43" i="7"/>
  <c r="D43" i="7"/>
  <c r="C43" i="7"/>
  <c r="B43" i="7"/>
  <c r="M24" i="7"/>
  <c r="K24" i="7"/>
  <c r="G24" i="7"/>
  <c r="C24" i="7"/>
  <c r="M23" i="7"/>
  <c r="G22" i="7"/>
  <c r="F22" i="7"/>
  <c r="M21" i="7"/>
  <c r="K21" i="7"/>
  <c r="G21" i="7"/>
  <c r="F21" i="7"/>
  <c r="B21" i="7"/>
  <c r="M20" i="7"/>
  <c r="K20" i="7"/>
  <c r="G20" i="7"/>
  <c r="F20" i="7"/>
  <c r="C20" i="7"/>
  <c r="B20" i="7"/>
  <c r="M19" i="7"/>
  <c r="K19" i="7"/>
  <c r="G19" i="7"/>
  <c r="F19" i="7"/>
  <c r="D19" i="7"/>
  <c r="B19" i="7"/>
  <c r="M18" i="7"/>
  <c r="K18" i="7"/>
  <c r="G18" i="7"/>
  <c r="F18" i="7"/>
  <c r="C18" i="7"/>
  <c r="B18" i="7"/>
  <c r="M17" i="7"/>
  <c r="K17" i="7"/>
  <c r="G17" i="7"/>
  <c r="F17" i="7"/>
  <c r="D17" i="7"/>
  <c r="C17" i="7"/>
  <c r="B17" i="7"/>
  <c r="M16" i="7"/>
  <c r="K16" i="7"/>
  <c r="G16" i="7"/>
  <c r="F16" i="7"/>
  <c r="D16" i="7"/>
  <c r="C16" i="7"/>
  <c r="B16" i="7"/>
  <c r="M15" i="7"/>
  <c r="K15" i="7"/>
  <c r="F15" i="7"/>
  <c r="E15" i="7"/>
  <c r="B15" i="7"/>
  <c r="M14" i="7"/>
  <c r="K14" i="7"/>
  <c r="G14" i="7"/>
  <c r="F14" i="7"/>
  <c r="C14" i="7"/>
  <c r="B14" i="7"/>
  <c r="M13" i="7"/>
  <c r="K13" i="7"/>
  <c r="G13" i="7"/>
  <c r="F13" i="7"/>
  <c r="C13" i="7"/>
  <c r="B13" i="7"/>
  <c r="G12" i="7"/>
  <c r="D12" i="7"/>
  <c r="C12" i="7"/>
  <c r="B12" i="7"/>
  <c r="M11" i="7"/>
  <c r="K11" i="7"/>
  <c r="G11" i="7"/>
  <c r="F11" i="7"/>
  <c r="E11" i="7"/>
  <c r="D11" i="7"/>
  <c r="C11" i="7"/>
  <c r="B11" i="7"/>
  <c r="G10" i="7"/>
  <c r="D10" i="7"/>
  <c r="C10" i="7"/>
  <c r="B10" i="7"/>
  <c r="F9" i="7"/>
  <c r="C9" i="7"/>
  <c r="B9" i="7"/>
  <c r="G8" i="7"/>
  <c r="D8" i="7"/>
  <c r="C8" i="7"/>
  <c r="B8" i="7"/>
  <c r="G7" i="7"/>
  <c r="F7" i="7"/>
  <c r="C7" i="7"/>
  <c r="B7" i="7"/>
  <c r="M6" i="7"/>
  <c r="K6" i="7"/>
  <c r="G6" i="7"/>
  <c r="F6" i="7"/>
  <c r="D6" i="7"/>
  <c r="C6" i="7"/>
  <c r="B6" i="7"/>
  <c r="B77" i="12"/>
  <c r="E46" i="12"/>
  <c r="D46" i="12"/>
  <c r="C46" i="12"/>
  <c r="B46" i="12"/>
  <c r="D49" i="12" s="1"/>
  <c r="E74" i="12"/>
  <c r="D74" i="12"/>
  <c r="C74" i="12"/>
  <c r="B74" i="12"/>
  <c r="D77" i="12" s="1"/>
  <c r="B49" i="12"/>
  <c r="K67" i="12"/>
  <c r="G67" i="12"/>
  <c r="F67" i="12"/>
  <c r="K66" i="12"/>
  <c r="B66" i="12"/>
  <c r="K65" i="12"/>
  <c r="G65" i="12"/>
  <c r="B65" i="12"/>
  <c r="K64" i="12"/>
  <c r="G64" i="12"/>
  <c r="F64" i="12"/>
  <c r="B64" i="12"/>
  <c r="K63" i="12"/>
  <c r="G63" i="12"/>
  <c r="F63" i="12"/>
  <c r="E63" i="12"/>
  <c r="D63" i="12"/>
  <c r="C63" i="12"/>
  <c r="B63" i="12"/>
  <c r="K62" i="12"/>
  <c r="G62" i="12"/>
  <c r="F62" i="12"/>
  <c r="E62" i="12"/>
  <c r="D62" i="12"/>
  <c r="C62" i="12"/>
  <c r="B62" i="12"/>
  <c r="K61" i="12"/>
  <c r="G61" i="12"/>
  <c r="F61" i="12"/>
  <c r="E61" i="12"/>
  <c r="D61" i="12"/>
  <c r="C61" i="12"/>
  <c r="B61" i="12"/>
  <c r="K60" i="12"/>
  <c r="G60" i="12"/>
  <c r="G71" i="12" s="1"/>
  <c r="D50" i="19" s="1"/>
  <c r="F60" i="12"/>
  <c r="F71" i="12" s="1"/>
  <c r="D49" i="19" s="1"/>
  <c r="E60" i="12"/>
  <c r="E71" i="12" s="1"/>
  <c r="D48" i="19" s="1"/>
  <c r="D60" i="12"/>
  <c r="D71" i="12" s="1"/>
  <c r="D47" i="19" s="1"/>
  <c r="C60" i="12"/>
  <c r="B60" i="12"/>
  <c r="K59" i="12"/>
  <c r="G59" i="12"/>
  <c r="F59" i="12"/>
  <c r="E59" i="12"/>
  <c r="D59" i="12"/>
  <c r="C59" i="12"/>
  <c r="B59" i="12"/>
  <c r="B71" i="12" s="1"/>
  <c r="K58" i="12"/>
  <c r="G58" i="12"/>
  <c r="F58" i="12"/>
  <c r="E58" i="12"/>
  <c r="D58" i="12"/>
  <c r="C58" i="12"/>
  <c r="B58" i="12"/>
  <c r="K57" i="12"/>
  <c r="G57" i="12"/>
  <c r="F57" i="12"/>
  <c r="E57" i="12"/>
  <c r="D57" i="12"/>
  <c r="C57" i="12"/>
  <c r="B57" i="12"/>
  <c r="G42" i="12"/>
  <c r="C67" i="12" s="1"/>
  <c r="F42" i="12"/>
  <c r="K41" i="12"/>
  <c r="B41" i="12"/>
  <c r="K40" i="12"/>
  <c r="G40" i="12"/>
  <c r="B40" i="12"/>
  <c r="K39" i="12"/>
  <c r="G39" i="12"/>
  <c r="F39" i="12"/>
  <c r="B39" i="12"/>
  <c r="K38" i="12"/>
  <c r="G38" i="12"/>
  <c r="F38" i="12"/>
  <c r="E38" i="12"/>
  <c r="D38" i="12"/>
  <c r="C38" i="12"/>
  <c r="B38" i="12"/>
  <c r="K37" i="12"/>
  <c r="G37" i="12"/>
  <c r="F37" i="12"/>
  <c r="E37" i="12"/>
  <c r="D37" i="12"/>
  <c r="C37" i="12"/>
  <c r="B37" i="12"/>
  <c r="K36" i="12"/>
  <c r="G36" i="12"/>
  <c r="F36" i="12"/>
  <c r="E36" i="12"/>
  <c r="D36" i="12"/>
  <c r="C36" i="12"/>
  <c r="B36" i="12"/>
  <c r="K35" i="12"/>
  <c r="G35" i="12"/>
  <c r="F35" i="12"/>
  <c r="E35" i="12"/>
  <c r="D35" i="12"/>
  <c r="C35" i="12"/>
  <c r="B35" i="12"/>
  <c r="K34" i="12"/>
  <c r="G34" i="12"/>
  <c r="F34" i="12"/>
  <c r="E34" i="12"/>
  <c r="D34" i="12"/>
  <c r="C34" i="12"/>
  <c r="B34" i="12"/>
  <c r="K33" i="12"/>
  <c r="G33" i="12"/>
  <c r="F33" i="12"/>
  <c r="E33" i="12"/>
  <c r="D33" i="12"/>
  <c r="C33" i="12"/>
  <c r="B33" i="12"/>
  <c r="K32" i="12"/>
  <c r="G32" i="12"/>
  <c r="F32" i="12"/>
  <c r="E32" i="12"/>
  <c r="D32" i="12"/>
  <c r="C32" i="12"/>
  <c r="B32" i="12"/>
  <c r="K15" i="12"/>
  <c r="B15" i="12"/>
  <c r="I41" i="12" s="1"/>
  <c r="K14" i="12"/>
  <c r="G14" i="12"/>
  <c r="B14" i="12"/>
  <c r="I40" i="12" s="1"/>
  <c r="K13" i="12"/>
  <c r="G13" i="12"/>
  <c r="F13" i="12"/>
  <c r="I13" i="12" s="1"/>
  <c r="L39" i="12" s="1"/>
  <c r="B13" i="12"/>
  <c r="I64" i="12" s="1"/>
  <c r="K12" i="12"/>
  <c r="G12" i="12"/>
  <c r="F12" i="12"/>
  <c r="E12" i="12"/>
  <c r="D12" i="12"/>
  <c r="C12" i="12"/>
  <c r="B12" i="12"/>
  <c r="I63" i="12" s="1"/>
  <c r="K11" i="12"/>
  <c r="G11" i="12"/>
  <c r="F11" i="12"/>
  <c r="E11" i="12"/>
  <c r="D11" i="12"/>
  <c r="C11" i="12"/>
  <c r="B11" i="12"/>
  <c r="K10" i="12"/>
  <c r="G10" i="12"/>
  <c r="F10" i="12"/>
  <c r="E10" i="12"/>
  <c r="D10" i="12"/>
  <c r="I10" i="12" s="1"/>
  <c r="L36" i="12" s="1"/>
  <c r="C10" i="12"/>
  <c r="B10" i="12"/>
  <c r="K9" i="12"/>
  <c r="G9" i="12"/>
  <c r="F9" i="12"/>
  <c r="E9" i="12"/>
  <c r="D9" i="12"/>
  <c r="C9" i="12"/>
  <c r="B9" i="12"/>
  <c r="K8" i="12"/>
  <c r="G8" i="12"/>
  <c r="F8" i="12"/>
  <c r="E8" i="12"/>
  <c r="D8" i="12"/>
  <c r="C8" i="12"/>
  <c r="B8" i="12"/>
  <c r="I34" i="12" s="1"/>
  <c r="K7" i="12"/>
  <c r="G7" i="12"/>
  <c r="F7" i="12"/>
  <c r="E7" i="12"/>
  <c r="D7" i="12"/>
  <c r="C7" i="12"/>
  <c r="B7" i="12"/>
  <c r="K6" i="12"/>
  <c r="G6" i="12"/>
  <c r="F6" i="12"/>
  <c r="E6" i="12"/>
  <c r="D6" i="12"/>
  <c r="I6" i="12" s="1"/>
  <c r="L32" i="12" s="1"/>
  <c r="C6" i="12"/>
  <c r="B6" i="12"/>
  <c r="E104" i="7" l="1"/>
  <c r="E48" i="19" s="1"/>
  <c r="C71" i="12"/>
  <c r="D46" i="19" s="1"/>
  <c r="D51" i="19" s="1"/>
  <c r="C54" i="15" s="1"/>
  <c r="C65" i="7"/>
  <c r="E65" i="7"/>
  <c r="E28" i="19" s="1"/>
  <c r="B100" i="7"/>
  <c r="H34" i="19"/>
  <c r="H54" i="19"/>
  <c r="C18" i="11"/>
  <c r="F36" i="19"/>
  <c r="G11" i="19"/>
  <c r="F6" i="15" s="1"/>
  <c r="F11" i="19"/>
  <c r="E6" i="15" s="1"/>
  <c r="F16" i="19"/>
  <c r="E7" i="15" s="1"/>
  <c r="F31" i="19"/>
  <c r="D32" i="19"/>
  <c r="D35" i="19"/>
  <c r="H24" i="7"/>
  <c r="L24" i="7" s="1"/>
  <c r="H86" i="7"/>
  <c r="H91" i="7"/>
  <c r="H19" i="7"/>
  <c r="L19" i="7" s="1"/>
  <c r="H96" i="7"/>
  <c r="H14" i="7"/>
  <c r="L14" i="7" s="1"/>
  <c r="B62" i="7"/>
  <c r="H100" i="7" s="1"/>
  <c r="H11" i="7"/>
  <c r="L11" i="7" s="1"/>
  <c r="H16" i="7"/>
  <c r="L16" i="7" s="1"/>
  <c r="H21" i="7"/>
  <c r="L21" i="7" s="1"/>
  <c r="H18" i="7"/>
  <c r="L93" i="7" s="1"/>
  <c r="H20" i="7"/>
  <c r="L57" i="7" s="1"/>
  <c r="B101" i="7"/>
  <c r="H6" i="7"/>
  <c r="L6" i="7" s="1"/>
  <c r="H13" i="7"/>
  <c r="L13" i="7" s="1"/>
  <c r="H90" i="7"/>
  <c r="H17" i="7"/>
  <c r="L92" i="7" s="1"/>
  <c r="H99" i="7"/>
  <c r="H50" i="7"/>
  <c r="H51" i="7"/>
  <c r="H53" i="7"/>
  <c r="H58" i="7"/>
  <c r="H88" i="7"/>
  <c r="H89" i="7"/>
  <c r="H15" i="7"/>
  <c r="L15" i="7" s="1"/>
  <c r="H43" i="7"/>
  <c r="H54" i="7"/>
  <c r="H55" i="7"/>
  <c r="H56" i="7"/>
  <c r="H57" i="7"/>
  <c r="H64" i="7"/>
  <c r="L102" i="7" s="1"/>
  <c r="H81" i="7"/>
  <c r="H92" i="7"/>
  <c r="H93" i="7"/>
  <c r="H94" i="7"/>
  <c r="H95" i="7"/>
  <c r="H61" i="7"/>
  <c r="H48" i="7"/>
  <c r="H52" i="7"/>
  <c r="L55" i="7"/>
  <c r="B63" i="7"/>
  <c r="I37" i="12"/>
  <c r="I14" i="12"/>
  <c r="L14" i="12" s="1"/>
  <c r="I33" i="12"/>
  <c r="I7" i="12"/>
  <c r="L7" i="12" s="1"/>
  <c r="I11" i="12"/>
  <c r="L11" i="12" s="1"/>
  <c r="I32" i="12"/>
  <c r="I36" i="12"/>
  <c r="L58" i="12"/>
  <c r="I60" i="12"/>
  <c r="L62" i="12"/>
  <c r="I39" i="12"/>
  <c r="L64" i="12"/>
  <c r="C42" i="12"/>
  <c r="I42" i="12" s="1"/>
  <c r="L57" i="12"/>
  <c r="L61" i="12"/>
  <c r="I67" i="12"/>
  <c r="L67" i="12" s="1"/>
  <c r="I15" i="12"/>
  <c r="L15" i="12" s="1"/>
  <c r="L33" i="12"/>
  <c r="I35" i="12"/>
  <c r="L37" i="12"/>
  <c r="L40" i="12"/>
  <c r="L41" i="12"/>
  <c r="I58" i="12"/>
  <c r="I62" i="12"/>
  <c r="I65" i="12"/>
  <c r="I66" i="12"/>
  <c r="I38" i="12"/>
  <c r="I57" i="12"/>
  <c r="I61" i="12"/>
  <c r="L6" i="12"/>
  <c r="I8" i="12"/>
  <c r="L10" i="12"/>
  <c r="I12" i="12"/>
  <c r="L13" i="12"/>
  <c r="I59" i="12"/>
  <c r="I9" i="12"/>
  <c r="L35" i="12" s="1"/>
  <c r="C3" i="38"/>
  <c r="D3" i="38"/>
  <c r="E3" i="38"/>
  <c r="C23" i="36"/>
  <c r="D23" i="36"/>
  <c r="E23" i="36"/>
  <c r="F23" i="36"/>
  <c r="B23" i="36"/>
  <c r="C22" i="36"/>
  <c r="D22" i="36"/>
  <c r="E22" i="36"/>
  <c r="F22" i="36"/>
  <c r="B22" i="36"/>
  <c r="F13" i="36"/>
  <c r="E13" i="36"/>
  <c r="D13" i="36"/>
  <c r="C13" i="36"/>
  <c r="B13" i="36"/>
  <c r="F12" i="36"/>
  <c r="E12" i="36"/>
  <c r="D12" i="36"/>
  <c r="C12" i="36"/>
  <c r="B12" i="36"/>
  <c r="F11" i="36"/>
  <c r="E11" i="36"/>
  <c r="D11" i="36"/>
  <c r="C11" i="36"/>
  <c r="B11" i="36"/>
  <c r="F10" i="36"/>
  <c r="E10" i="36"/>
  <c r="D10" i="36"/>
  <c r="C10" i="36"/>
  <c r="B10" i="36"/>
  <c r="F21" i="36"/>
  <c r="E21" i="36"/>
  <c r="D21" i="36"/>
  <c r="C21" i="36"/>
  <c r="B21" i="36"/>
  <c r="F20" i="36"/>
  <c r="E20" i="36"/>
  <c r="D20" i="36"/>
  <c r="C20" i="36"/>
  <c r="B20" i="36"/>
  <c r="F19" i="36"/>
  <c r="E19" i="36"/>
  <c r="D19" i="36"/>
  <c r="C19" i="36"/>
  <c r="B19" i="36"/>
  <c r="F18" i="36"/>
  <c r="E18" i="36"/>
  <c r="D18" i="36"/>
  <c r="C18" i="36"/>
  <c r="B18" i="36"/>
  <c r="K126" i="36"/>
  <c r="L126" i="36"/>
  <c r="K85" i="36"/>
  <c r="L85" i="36"/>
  <c r="M85" i="36"/>
  <c r="M191" i="36"/>
  <c r="N191" i="36"/>
  <c r="O191" i="36"/>
  <c r="L187" i="36"/>
  <c r="M187" i="36"/>
  <c r="N187" i="36"/>
  <c r="L182" i="36"/>
  <c r="M182" i="36"/>
  <c r="N182" i="36"/>
  <c r="O182" i="36"/>
  <c r="K78" i="36"/>
  <c r="L78" i="36"/>
  <c r="M78" i="36"/>
  <c r="J679" i="35"/>
  <c r="K679" i="35"/>
  <c r="L679" i="35"/>
  <c r="I679" i="35"/>
  <c r="L678" i="35"/>
  <c r="K678" i="35"/>
  <c r="H678" i="35"/>
  <c r="F40" i="35"/>
  <c r="K665" i="35"/>
  <c r="E24" i="35" s="1"/>
  <c r="L665" i="35"/>
  <c r="F24" i="35" s="1"/>
  <c r="L656" i="35"/>
  <c r="F23" i="35" s="1"/>
  <c r="C112" i="7"/>
  <c r="K103" i="7"/>
  <c r="G103" i="7"/>
  <c r="F103" i="7"/>
  <c r="D103" i="7"/>
  <c r="C103" i="7"/>
  <c r="C104" i="7" s="1"/>
  <c r="M103" i="7"/>
  <c r="C73" i="7"/>
  <c r="K70" i="7"/>
  <c r="F4" i="22"/>
  <c r="B73" i="7"/>
  <c r="C33" i="7"/>
  <c r="B33" i="7"/>
  <c r="H677" i="35"/>
  <c r="I677" i="35" s="1"/>
  <c r="J677" i="35" s="1"/>
  <c r="H676" i="35"/>
  <c r="I676" i="35" s="1"/>
  <c r="J676" i="35" s="1"/>
  <c r="H675" i="35"/>
  <c r="I675" i="35" s="1"/>
  <c r="J675" i="35" s="1"/>
  <c r="H674" i="35"/>
  <c r="I674" i="35" s="1"/>
  <c r="J674" i="35" s="1"/>
  <c r="H673" i="35"/>
  <c r="I673" i="35" s="1"/>
  <c r="H672" i="35"/>
  <c r="I672" i="35" s="1"/>
  <c r="H671" i="35"/>
  <c r="I671" i="35" s="1"/>
  <c r="H670" i="35"/>
  <c r="I670" i="35" s="1"/>
  <c r="H669" i="35"/>
  <c r="I669" i="35" s="1"/>
  <c r="H664" i="35"/>
  <c r="I664" i="35" s="1"/>
  <c r="H663" i="35"/>
  <c r="I663" i="35" s="1"/>
  <c r="L61" i="7" l="1"/>
  <c r="L94" i="7"/>
  <c r="L99" i="7"/>
  <c r="L86" i="7"/>
  <c r="L20" i="7"/>
  <c r="L96" i="7"/>
  <c r="L18" i="7"/>
  <c r="L64" i="7"/>
  <c r="L54" i="7"/>
  <c r="L17" i="7"/>
  <c r="L95" i="7"/>
  <c r="L43" i="7"/>
  <c r="L51" i="7"/>
  <c r="L48" i="7"/>
  <c r="L88" i="7"/>
  <c r="L91" i="7"/>
  <c r="L53" i="7"/>
  <c r="L81" i="7"/>
  <c r="L56" i="7"/>
  <c r="L50" i="7"/>
  <c r="L89" i="7"/>
  <c r="L58" i="7"/>
  <c r="L90" i="7"/>
  <c r="L52" i="7"/>
  <c r="H62" i="7"/>
  <c r="H101" i="7"/>
  <c r="H63" i="7"/>
  <c r="L60" i="12"/>
  <c r="L9" i="12"/>
  <c r="L65" i="12"/>
  <c r="L12" i="12"/>
  <c r="L63" i="12"/>
  <c r="L8" i="12"/>
  <c r="L59" i="12"/>
  <c r="L66" i="12"/>
  <c r="L38" i="12"/>
  <c r="L34" i="12"/>
  <c r="E39" i="35"/>
  <c r="F38" i="35"/>
  <c r="F39" i="35"/>
  <c r="B103" i="7"/>
  <c r="D40" i="35"/>
  <c r="E40" i="35"/>
  <c r="C40" i="35"/>
  <c r="H660" i="35"/>
  <c r="I660" i="35" s="1"/>
  <c r="H661" i="35"/>
  <c r="I661" i="35" s="1"/>
  <c r="J661" i="35" s="1"/>
  <c r="H662" i="35"/>
  <c r="I662" i="35" s="1"/>
  <c r="J662" i="35" s="1"/>
  <c r="H659" i="35"/>
  <c r="I659" i="35" s="1"/>
  <c r="L100" i="7" l="1"/>
  <c r="L62" i="7"/>
  <c r="L63" i="7"/>
  <c r="L101" i="7"/>
  <c r="H103" i="7"/>
  <c r="I665" i="35"/>
  <c r="J665" i="35"/>
  <c r="H655" i="35"/>
  <c r="I655" i="35" s="1"/>
  <c r="K655" i="35" s="1"/>
  <c r="H654" i="35"/>
  <c r="I654" i="35" s="1"/>
  <c r="K654" i="35" s="1"/>
  <c r="H653" i="35"/>
  <c r="I653" i="35" s="1"/>
  <c r="K653" i="35" s="1"/>
  <c r="H652" i="35"/>
  <c r="I652" i="35" s="1"/>
  <c r="K652" i="35" s="1"/>
  <c r="H651" i="35"/>
  <c r="I651" i="35" s="1"/>
  <c r="K651" i="35" s="1"/>
  <c r="H650" i="35"/>
  <c r="I650" i="35" s="1"/>
  <c r="K650" i="35" s="1"/>
  <c r="H649" i="35"/>
  <c r="I649" i="35" s="1"/>
  <c r="K649" i="35" s="1"/>
  <c r="H648" i="35"/>
  <c r="I648" i="35" s="1"/>
  <c r="K648" i="35" s="1"/>
  <c r="H647" i="35"/>
  <c r="I647" i="35" s="1"/>
  <c r="K647" i="35" s="1"/>
  <c r="H646" i="35"/>
  <c r="I646" i="35" s="1"/>
  <c r="K646" i="35" s="1"/>
  <c r="H645" i="35"/>
  <c r="I645" i="35" s="1"/>
  <c r="K645" i="35" s="1"/>
  <c r="H644" i="35"/>
  <c r="I644" i="35" s="1"/>
  <c r="K644" i="35" s="1"/>
  <c r="H643" i="35"/>
  <c r="I643" i="35" s="1"/>
  <c r="K643" i="35" s="1"/>
  <c r="H642" i="35"/>
  <c r="I642" i="35" s="1"/>
  <c r="K642" i="35" s="1"/>
  <c r="H641" i="35"/>
  <c r="I641" i="35" s="1"/>
  <c r="K641" i="35" s="1"/>
  <c r="H640" i="35"/>
  <c r="I640" i="35" s="1"/>
  <c r="J640" i="35" s="1"/>
  <c r="H639" i="35"/>
  <c r="I639" i="35" s="1"/>
  <c r="J639" i="35" s="1"/>
  <c r="H638" i="35"/>
  <c r="I638" i="35" s="1"/>
  <c r="J638" i="35" s="1"/>
  <c r="H637" i="35"/>
  <c r="I637" i="35" s="1"/>
  <c r="J637" i="35" s="1"/>
  <c r="H636" i="35"/>
  <c r="I636" i="35" s="1"/>
  <c r="J636" i="35" s="1"/>
  <c r="H635" i="35"/>
  <c r="I635" i="35" s="1"/>
  <c r="J635" i="35" s="1"/>
  <c r="H634" i="35"/>
  <c r="I634" i="35" s="1"/>
  <c r="J634" i="35" s="1"/>
  <c r="H633" i="35"/>
  <c r="I633" i="35" s="1"/>
  <c r="J633" i="35" s="1"/>
  <c r="H632" i="35"/>
  <c r="I632" i="35" s="1"/>
  <c r="J632" i="35" s="1"/>
  <c r="H631" i="35"/>
  <c r="I631" i="35" s="1"/>
  <c r="K70" i="12"/>
  <c r="H68" i="12"/>
  <c r="F68" i="12"/>
  <c r="B23" i="12"/>
  <c r="C24" i="35" l="1"/>
  <c r="C39" i="35"/>
  <c r="D24" i="35"/>
  <c r="D39" i="35"/>
  <c r="L103" i="7"/>
  <c r="J631" i="35"/>
  <c r="J656" i="35" s="1"/>
  <c r="I656" i="35"/>
  <c r="K656" i="35"/>
  <c r="K68" i="12"/>
  <c r="G70" i="12"/>
  <c r="C70" i="12"/>
  <c r="G69" i="12"/>
  <c r="G68" i="12"/>
  <c r="C68" i="12" s="1"/>
  <c r="H89" i="36"/>
  <c r="I312" i="2"/>
  <c r="C69" i="12" s="1"/>
  <c r="J312" i="2"/>
  <c r="E23" i="35" l="1"/>
  <c r="E38" i="35"/>
  <c r="C23" i="35"/>
  <c r="C38" i="35"/>
  <c r="D23" i="35"/>
  <c r="D38" i="35"/>
  <c r="I70" i="12"/>
  <c r="I69" i="12"/>
  <c r="K69" i="12"/>
  <c r="H43" i="12"/>
  <c r="E43" i="12"/>
  <c r="D43" i="12"/>
  <c r="F22" i="38"/>
  <c r="H22" i="38" s="1"/>
  <c r="F23" i="38"/>
  <c r="H23" i="38" s="1"/>
  <c r="I23" i="38" s="1"/>
  <c r="M23" i="38" s="1"/>
  <c r="F24" i="38"/>
  <c r="H24" i="38" s="1"/>
  <c r="I24" i="38" s="1"/>
  <c r="M24" i="38" s="1"/>
  <c r="F25" i="38"/>
  <c r="H25" i="38" s="1"/>
  <c r="I25" i="38" s="1"/>
  <c r="M25" i="38" s="1"/>
  <c r="F26" i="38"/>
  <c r="H26" i="38" s="1"/>
  <c r="I26" i="38" s="1"/>
  <c r="M26" i="38" s="1"/>
  <c r="F27" i="38"/>
  <c r="H27" i="38" s="1"/>
  <c r="F28" i="38"/>
  <c r="H28" i="38" s="1"/>
  <c r="F29" i="38"/>
  <c r="H29" i="38" s="1"/>
  <c r="F30" i="38"/>
  <c r="H30" i="38" s="1"/>
  <c r="F35" i="38"/>
  <c r="H35" i="38" s="1"/>
  <c r="F36" i="38"/>
  <c r="H36" i="38" s="1"/>
  <c r="I36" i="38" s="1"/>
  <c r="M36" i="38" s="1"/>
  <c r="M37" i="38"/>
  <c r="G43" i="38"/>
  <c r="K43" i="38"/>
  <c r="D7" i="38" s="1"/>
  <c r="L43" i="38"/>
  <c r="E7" i="38" s="1"/>
  <c r="H49" i="38"/>
  <c r="J49" i="38" s="1"/>
  <c r="K49" i="38" s="1"/>
  <c r="H50" i="38"/>
  <c r="J50" i="38" s="1"/>
  <c r="K50" i="38" s="1"/>
  <c r="O50" i="38" s="1"/>
  <c r="H51" i="38"/>
  <c r="J51" i="38" s="1"/>
  <c r="K51" i="38" s="1"/>
  <c r="O51" i="38" s="1"/>
  <c r="F52" i="38"/>
  <c r="F55" i="38"/>
  <c r="G55" i="38"/>
  <c r="I55" i="38"/>
  <c r="L55" i="38"/>
  <c r="C12" i="38" s="1"/>
  <c r="M55" i="38"/>
  <c r="D12" i="38" s="1"/>
  <c r="N55" i="38"/>
  <c r="E12" i="38" s="1"/>
  <c r="H55" i="38" l="1"/>
  <c r="J53" i="38"/>
  <c r="I68" i="12"/>
  <c r="I71" i="12" s="1"/>
  <c r="L69" i="12"/>
  <c r="F43" i="12"/>
  <c r="I29" i="38"/>
  <c r="J29" i="38"/>
  <c r="J28" i="38"/>
  <c r="I28" i="38"/>
  <c r="I35" i="38"/>
  <c r="M35" i="38" s="1"/>
  <c r="M39" i="38" s="1"/>
  <c r="H39" i="38"/>
  <c r="I27" i="38"/>
  <c r="J27" i="38"/>
  <c r="K55" i="38"/>
  <c r="B12" i="38" s="1"/>
  <c r="O49" i="38"/>
  <c r="I30" i="38"/>
  <c r="J30" i="38"/>
  <c r="H32" i="38"/>
  <c r="I22" i="38"/>
  <c r="J55" i="38"/>
  <c r="H43" i="38" l="1"/>
  <c r="M28" i="38"/>
  <c r="M27" i="38"/>
  <c r="M30" i="38"/>
  <c r="L68" i="12"/>
  <c r="O55" i="38"/>
  <c r="O53" i="38"/>
  <c r="M22" i="38"/>
  <c r="I43" i="38"/>
  <c r="B7" i="38" s="1"/>
  <c r="B3" i="38" s="1"/>
  <c r="J43" i="38"/>
  <c r="C7" i="38" s="1"/>
  <c r="M29" i="38"/>
  <c r="M32" i="38" l="1"/>
  <c r="M43" i="38" s="1"/>
  <c r="F14" i="37" l="1"/>
  <c r="F15" i="37"/>
  <c r="I15" i="37" s="1"/>
  <c r="J15" i="37" s="1"/>
  <c r="N15" i="37" s="1"/>
  <c r="G15" i="37"/>
  <c r="F16" i="37"/>
  <c r="I16" i="37" s="1"/>
  <c r="J16" i="37" s="1"/>
  <c r="N16" i="37" s="1"/>
  <c r="G16" i="37"/>
  <c r="F17" i="37"/>
  <c r="I17" i="37" s="1"/>
  <c r="J17" i="37" s="1"/>
  <c r="N17" i="37" s="1"/>
  <c r="G17" i="37"/>
  <c r="I18" i="37"/>
  <c r="J18" i="37"/>
  <c r="N18" i="37" s="1"/>
  <c r="I19" i="37"/>
  <c r="J19" i="37"/>
  <c r="N19" i="37" s="1"/>
  <c r="F20" i="37"/>
  <c r="I20" i="37" s="1"/>
  <c r="J20" i="37" s="1"/>
  <c r="N20" i="37" s="1"/>
  <c r="I21" i="37"/>
  <c r="J21" i="37" s="1"/>
  <c r="N21" i="37" s="1"/>
  <c r="I22" i="37"/>
  <c r="J22" i="37" s="1"/>
  <c r="N22" i="37" s="1"/>
  <c r="F23" i="37"/>
  <c r="I23" i="37"/>
  <c r="J23" i="37" s="1"/>
  <c r="N23" i="37" s="1"/>
  <c r="I24" i="37"/>
  <c r="J24" i="37"/>
  <c r="N24" i="37" s="1"/>
  <c r="I25" i="37"/>
  <c r="J25" i="37"/>
  <c r="N25" i="37" s="1"/>
  <c r="F26" i="37"/>
  <c r="G26" i="37"/>
  <c r="I27" i="37"/>
  <c r="J27" i="37" s="1"/>
  <c r="N27" i="37" s="1"/>
  <c r="F28" i="37"/>
  <c r="I28" i="37" s="1"/>
  <c r="J28" i="37" s="1"/>
  <c r="N28" i="37" s="1"/>
  <c r="I29" i="37"/>
  <c r="J29" i="37" s="1"/>
  <c r="N29" i="37" s="1"/>
  <c r="F30" i="37"/>
  <c r="I30" i="37" s="1"/>
  <c r="J30" i="37" s="1"/>
  <c r="N30" i="37" s="1"/>
  <c r="F31" i="37"/>
  <c r="I31" i="37" s="1"/>
  <c r="J31" i="37" s="1"/>
  <c r="N31" i="37" s="1"/>
  <c r="H33" i="37"/>
  <c r="J33" i="37" s="1"/>
  <c r="H34" i="37"/>
  <c r="J34" i="37" s="1"/>
  <c r="H35" i="37"/>
  <c r="J35" i="37" s="1"/>
  <c r="H36" i="37"/>
  <c r="J36" i="37" s="1"/>
  <c r="H37" i="37"/>
  <c r="J37" i="37" s="1"/>
  <c r="E42" i="37"/>
  <c r="G42" i="37"/>
  <c r="K42" i="37"/>
  <c r="C3" i="37" s="1"/>
  <c r="L42" i="37"/>
  <c r="D3" i="37" s="1"/>
  <c r="M42" i="37"/>
  <c r="E3" i="37" s="1"/>
  <c r="E49" i="37"/>
  <c r="G49" i="37" s="1"/>
  <c r="E50" i="37"/>
  <c r="G50" i="37" s="1"/>
  <c r="H50" i="37" s="1"/>
  <c r="E51" i="37"/>
  <c r="G51" i="37" s="1"/>
  <c r="H51" i="37" s="1"/>
  <c r="E52" i="37"/>
  <c r="G52" i="37"/>
  <c r="H52" i="37" s="1"/>
  <c r="E53" i="37"/>
  <c r="G53" i="37" s="1"/>
  <c r="H53" i="37" s="1"/>
  <c r="E54" i="37"/>
  <c r="G54" i="37" s="1"/>
  <c r="H54" i="37" s="1"/>
  <c r="E55" i="37"/>
  <c r="G55" i="37" s="1"/>
  <c r="H55" i="37" s="1"/>
  <c r="E56" i="37"/>
  <c r="G56" i="37"/>
  <c r="H56" i="37" s="1"/>
  <c r="E57" i="37"/>
  <c r="G57" i="37" s="1"/>
  <c r="H57" i="37" s="1"/>
  <c r="E58" i="37"/>
  <c r="G58" i="37" s="1"/>
  <c r="H58" i="37" s="1"/>
  <c r="E59" i="37"/>
  <c r="G59" i="37" s="1"/>
  <c r="H59" i="37" s="1"/>
  <c r="E60" i="37"/>
  <c r="G60" i="37"/>
  <c r="H60" i="37" s="1"/>
  <c r="E61" i="37"/>
  <c r="G61" i="37" s="1"/>
  <c r="H61" i="37" s="1"/>
  <c r="E62" i="37"/>
  <c r="G62" i="37" s="1"/>
  <c r="H62" i="37" s="1"/>
  <c r="E63" i="37"/>
  <c r="G63" i="37" s="1"/>
  <c r="H63" i="37" s="1"/>
  <c r="E64" i="37"/>
  <c r="G64" i="37"/>
  <c r="H64" i="37" s="1"/>
  <c r="E65" i="37"/>
  <c r="G65" i="37" s="1"/>
  <c r="H65" i="37" s="1"/>
  <c r="E66" i="37"/>
  <c r="G66" i="37" s="1"/>
  <c r="H66" i="37" s="1"/>
  <c r="E67" i="37"/>
  <c r="G67" i="37" s="1"/>
  <c r="H67" i="37" s="1"/>
  <c r="E68" i="37"/>
  <c r="G68" i="37"/>
  <c r="H68" i="37" s="1"/>
  <c r="E69" i="37"/>
  <c r="G69" i="37" s="1"/>
  <c r="H69" i="37" s="1"/>
  <c r="E70" i="37"/>
  <c r="G70" i="37" s="1"/>
  <c r="H70" i="37" s="1"/>
  <c r="E71" i="37"/>
  <c r="G71" i="37" s="1"/>
  <c r="H71" i="37" s="1"/>
  <c r="E72" i="37"/>
  <c r="G72" i="37"/>
  <c r="H72" i="37" s="1"/>
  <c r="E73" i="37"/>
  <c r="G73" i="37" s="1"/>
  <c r="H73" i="37" s="1"/>
  <c r="E74" i="37"/>
  <c r="G74" i="37" s="1"/>
  <c r="H74" i="37" s="1"/>
  <c r="E75" i="37"/>
  <c r="G75" i="37" s="1"/>
  <c r="H75" i="37" s="1"/>
  <c r="E76" i="37"/>
  <c r="G76" i="37"/>
  <c r="H76" i="37" s="1"/>
  <c r="E77" i="37"/>
  <c r="G77" i="37" s="1"/>
  <c r="H77" i="37" s="1"/>
  <c r="F94" i="37"/>
  <c r="J94" i="37"/>
  <c r="D4" i="37" s="1"/>
  <c r="K94" i="37"/>
  <c r="E4" i="37" s="1"/>
  <c r="L94" i="37"/>
  <c r="F4" i="37" s="1"/>
  <c r="F5" i="37" s="1"/>
  <c r="I26" i="37" l="1"/>
  <c r="J26" i="37" s="1"/>
  <c r="N26" i="37" s="1"/>
  <c r="E5" i="37"/>
  <c r="D5" i="37"/>
  <c r="F42" i="37"/>
  <c r="I75" i="37"/>
  <c r="M75" i="37" s="1"/>
  <c r="I76" i="37"/>
  <c r="M76" i="37" s="1"/>
  <c r="I71" i="37"/>
  <c r="M71" i="37" s="1"/>
  <c r="I68" i="37"/>
  <c r="M68" i="37"/>
  <c r="I63" i="37"/>
  <c r="M63" i="37" s="1"/>
  <c r="I60" i="37"/>
  <c r="M60" i="37" s="1"/>
  <c r="I55" i="37"/>
  <c r="M55" i="37" s="1"/>
  <c r="I52" i="37"/>
  <c r="M52" i="37"/>
  <c r="I73" i="37"/>
  <c r="M73" i="37"/>
  <c r="I70" i="37"/>
  <c r="M70" i="37" s="1"/>
  <c r="I65" i="37"/>
  <c r="M65" i="37" s="1"/>
  <c r="I62" i="37"/>
  <c r="M62" i="37" s="1"/>
  <c r="I57" i="37"/>
  <c r="M57" i="37"/>
  <c r="I54" i="37"/>
  <c r="M54" i="37" s="1"/>
  <c r="H49" i="37"/>
  <c r="G94" i="37"/>
  <c r="M67" i="37"/>
  <c r="I67" i="37"/>
  <c r="I72" i="37"/>
  <c r="M72" i="37"/>
  <c r="I64" i="37"/>
  <c r="M64" i="37" s="1"/>
  <c r="I59" i="37"/>
  <c r="M59" i="37" s="1"/>
  <c r="I56" i="37"/>
  <c r="M56" i="37" s="1"/>
  <c r="I51" i="37"/>
  <c r="M51" i="37" s="1"/>
  <c r="I77" i="37"/>
  <c r="M77" i="37" s="1"/>
  <c r="I74" i="37"/>
  <c r="M74" i="37"/>
  <c r="I69" i="37"/>
  <c r="M69" i="37"/>
  <c r="I66" i="37"/>
  <c r="M66" i="37"/>
  <c r="I61" i="37"/>
  <c r="M61" i="37"/>
  <c r="I58" i="37"/>
  <c r="M58" i="37" s="1"/>
  <c r="I53" i="37"/>
  <c r="M53" i="37"/>
  <c r="I50" i="37"/>
  <c r="M50" i="37" s="1"/>
  <c r="H42" i="37"/>
  <c r="I14" i="37"/>
  <c r="J14" i="37" l="1"/>
  <c r="I42" i="37"/>
  <c r="I49" i="37"/>
  <c r="I94" i="37" s="1"/>
  <c r="C4" i="37" s="1"/>
  <c r="C5" i="37" s="1"/>
  <c r="H94" i="37"/>
  <c r="B4" i="37" s="1"/>
  <c r="M49" i="37" l="1"/>
  <c r="M94" i="37" s="1"/>
  <c r="N14" i="37"/>
  <c r="N42" i="37" s="1"/>
  <c r="J42" i="37"/>
  <c r="B3" i="37" s="1"/>
  <c r="B5" i="37" l="1"/>
  <c r="F30" i="36"/>
  <c r="H30" i="36" s="1"/>
  <c r="I30" i="36" s="1"/>
  <c r="F31" i="36"/>
  <c r="H31" i="36" s="1"/>
  <c r="F32" i="36"/>
  <c r="H32" i="36" s="1"/>
  <c r="F37" i="36"/>
  <c r="H37" i="36" s="1"/>
  <c r="I37" i="36" s="1"/>
  <c r="F38" i="36"/>
  <c r="H38" i="36" s="1"/>
  <c r="I38" i="36" s="1"/>
  <c r="F39" i="36"/>
  <c r="H39" i="36" s="1"/>
  <c r="I39" i="36" s="1"/>
  <c r="F44" i="36"/>
  <c r="H44" i="36" s="1"/>
  <c r="I44" i="36" s="1"/>
  <c r="F45" i="36"/>
  <c r="H45" i="36" s="1"/>
  <c r="I45" i="36" s="1"/>
  <c r="F50" i="36"/>
  <c r="H50" i="36" s="1"/>
  <c r="I50" i="36" s="1"/>
  <c r="F51" i="36"/>
  <c r="H51" i="36" s="1"/>
  <c r="I51" i="36" s="1"/>
  <c r="F52" i="36"/>
  <c r="H52" i="36" s="1"/>
  <c r="I52" i="36" s="1"/>
  <c r="F57" i="36"/>
  <c r="H57" i="36" s="1"/>
  <c r="I57" i="36" s="1"/>
  <c r="F58" i="36"/>
  <c r="H58" i="36" s="1"/>
  <c r="I58" i="36" s="1"/>
  <c r="F59" i="36"/>
  <c r="H59" i="36" s="1"/>
  <c r="I59" i="36" s="1"/>
  <c r="F64" i="36"/>
  <c r="H64" i="36" s="1"/>
  <c r="I64" i="36" s="1"/>
  <c r="F65" i="36"/>
  <c r="H65" i="36" s="1"/>
  <c r="I65" i="36" s="1"/>
  <c r="F66" i="36"/>
  <c r="H66" i="36" s="1"/>
  <c r="I66" i="36" s="1"/>
  <c r="F67" i="36"/>
  <c r="H67" i="36" s="1"/>
  <c r="I67" i="36" s="1"/>
  <c r="F72" i="36"/>
  <c r="H72" i="36" s="1"/>
  <c r="I72" i="36" s="1"/>
  <c r="J72" i="36" s="1"/>
  <c r="N72" i="36"/>
  <c r="F73" i="36"/>
  <c r="H73" i="36" s="1"/>
  <c r="I73" i="36" s="1"/>
  <c r="F74" i="36"/>
  <c r="H74" i="36" s="1"/>
  <c r="I74" i="36" s="1"/>
  <c r="I89" i="36"/>
  <c r="H90" i="36"/>
  <c r="I90" i="36" s="1"/>
  <c r="J90" i="36" s="1"/>
  <c r="H91" i="36"/>
  <c r="I91" i="36" s="1"/>
  <c r="J91" i="36" s="1"/>
  <c r="H92" i="36"/>
  <c r="I92" i="36" s="1"/>
  <c r="J92" i="36" s="1"/>
  <c r="H93" i="36"/>
  <c r="I93" i="36" s="1"/>
  <c r="H94" i="36"/>
  <c r="I94" i="36" s="1"/>
  <c r="J94" i="36" s="1"/>
  <c r="H95" i="36"/>
  <c r="I95" i="36" s="1"/>
  <c r="J95" i="36" s="1"/>
  <c r="H96" i="36"/>
  <c r="I96" i="36" s="1"/>
  <c r="J96" i="36" s="1"/>
  <c r="H97" i="36"/>
  <c r="I97" i="36" s="1"/>
  <c r="J97" i="36" s="1"/>
  <c r="H98" i="36"/>
  <c r="I98" i="36" s="1"/>
  <c r="J98" i="36" s="1"/>
  <c r="H99" i="36"/>
  <c r="I99" i="36" s="1"/>
  <c r="J99" i="36" s="1"/>
  <c r="H100" i="36"/>
  <c r="I100" i="36" s="1"/>
  <c r="J100" i="36" s="1"/>
  <c r="H101" i="36"/>
  <c r="I101" i="36" s="1"/>
  <c r="H102" i="36"/>
  <c r="I102" i="36" s="1"/>
  <c r="H103" i="36"/>
  <c r="I103" i="36" s="1"/>
  <c r="H104" i="36"/>
  <c r="I104" i="36" s="1"/>
  <c r="J104" i="36" s="1"/>
  <c r="H105" i="36"/>
  <c r="I105" i="36" s="1"/>
  <c r="J105" i="36" s="1"/>
  <c r="H106" i="36"/>
  <c r="I106" i="36" s="1"/>
  <c r="H107" i="36"/>
  <c r="I107" i="36" s="1"/>
  <c r="J107" i="36" s="1"/>
  <c r="H108" i="36"/>
  <c r="I108" i="36" s="1"/>
  <c r="H109" i="36"/>
  <c r="I109" i="36" s="1"/>
  <c r="H110" i="36"/>
  <c r="I110" i="36" s="1"/>
  <c r="J110" i="36" s="1"/>
  <c r="H111" i="36"/>
  <c r="I111" i="36" s="1"/>
  <c r="J111" i="36" s="1"/>
  <c r="H112" i="36"/>
  <c r="I112" i="36" s="1"/>
  <c r="H113" i="36"/>
  <c r="I113" i="36" s="1"/>
  <c r="H114" i="36"/>
  <c r="I114" i="36" s="1"/>
  <c r="H115" i="36"/>
  <c r="I115" i="36" s="1"/>
  <c r="H116" i="36"/>
  <c r="I116" i="36" s="1"/>
  <c r="H117" i="36"/>
  <c r="I117" i="36" s="1"/>
  <c r="J117" i="36" s="1"/>
  <c r="H118" i="36"/>
  <c r="I118" i="36" s="1"/>
  <c r="J118" i="36" s="1"/>
  <c r="H119" i="36"/>
  <c r="I119" i="36" s="1"/>
  <c r="J119" i="36" s="1"/>
  <c r="H122" i="36"/>
  <c r="I122" i="36" s="1"/>
  <c r="H123" i="36"/>
  <c r="I123" i="36" s="1"/>
  <c r="H124" i="36"/>
  <c r="M124" i="36" s="1"/>
  <c r="H125" i="36"/>
  <c r="M125" i="36" s="1"/>
  <c r="F82" i="36"/>
  <c r="H82" i="36" s="1"/>
  <c r="F83" i="36"/>
  <c r="H83" i="36" s="1"/>
  <c r="I83" i="36" s="1"/>
  <c r="F84" i="36"/>
  <c r="H84" i="36" s="1"/>
  <c r="I84" i="36" s="1"/>
  <c r="D4" i="36"/>
  <c r="E4" i="36"/>
  <c r="F4" i="36"/>
  <c r="G133" i="36"/>
  <c r="J133" i="36" s="1"/>
  <c r="K133" i="36" s="1"/>
  <c r="G134" i="36"/>
  <c r="J134" i="36" s="1"/>
  <c r="K134" i="36" s="1"/>
  <c r="I135" i="36"/>
  <c r="J135" i="36" s="1"/>
  <c r="F137" i="36"/>
  <c r="G140" i="36"/>
  <c r="J140" i="36" s="1"/>
  <c r="K140" i="36" s="1"/>
  <c r="G141" i="36"/>
  <c r="H141" i="36"/>
  <c r="G142" i="36"/>
  <c r="J142" i="36" s="1"/>
  <c r="K142" i="36" s="1"/>
  <c r="G143" i="36"/>
  <c r="H143" i="36"/>
  <c r="G144" i="36"/>
  <c r="J144" i="36" s="1"/>
  <c r="K144" i="36" s="1"/>
  <c r="I145" i="36"/>
  <c r="J145" i="36" s="1"/>
  <c r="K145" i="36" s="1"/>
  <c r="I146" i="36"/>
  <c r="J146" i="36" s="1"/>
  <c r="K146" i="36" s="1"/>
  <c r="F148" i="36"/>
  <c r="I151" i="36"/>
  <c r="J151" i="36" s="1"/>
  <c r="J153" i="36" s="1"/>
  <c r="F153" i="36"/>
  <c r="G153" i="36"/>
  <c r="H153" i="36"/>
  <c r="G156" i="36"/>
  <c r="J156" i="36" s="1"/>
  <c r="K156" i="36" s="1"/>
  <c r="G157" i="36"/>
  <c r="J157" i="36" s="1"/>
  <c r="K157" i="36" s="1"/>
  <c r="G158" i="36"/>
  <c r="J158" i="36" s="1"/>
  <c r="K158" i="36" s="1"/>
  <c r="F160" i="36"/>
  <c r="H160" i="36"/>
  <c r="I160" i="36"/>
  <c r="G163" i="36"/>
  <c r="J163" i="36" s="1"/>
  <c r="K163" i="36" s="1"/>
  <c r="G164" i="36"/>
  <c r="J164" i="36" s="1"/>
  <c r="K164" i="36" s="1"/>
  <c r="G165" i="36"/>
  <c r="H165" i="36"/>
  <c r="H167" i="36" s="1"/>
  <c r="F167" i="36"/>
  <c r="I167" i="36"/>
  <c r="G170" i="36"/>
  <c r="H170" i="36"/>
  <c r="G171" i="36"/>
  <c r="H171" i="36"/>
  <c r="F173" i="36"/>
  <c r="I173" i="36"/>
  <c r="G176" i="36"/>
  <c r="H176" i="36"/>
  <c r="G177" i="36"/>
  <c r="H177" i="36"/>
  <c r="G178" i="36"/>
  <c r="H178" i="36"/>
  <c r="F180" i="36"/>
  <c r="I180" i="36"/>
  <c r="I190" i="36"/>
  <c r="K190" i="36" s="1"/>
  <c r="F185" i="36"/>
  <c r="H185" i="36" s="1"/>
  <c r="K185" i="36" s="1"/>
  <c r="F186" i="36"/>
  <c r="H186" i="36" s="1"/>
  <c r="K186" i="36" s="1"/>
  <c r="C3" i="36"/>
  <c r="F3" i="36"/>
  <c r="J93" i="36" l="1"/>
  <c r="K191" i="36"/>
  <c r="M126" i="36"/>
  <c r="J89" i="36"/>
  <c r="J126" i="36" s="1"/>
  <c r="I126" i="36"/>
  <c r="K187" i="36"/>
  <c r="L190" i="36"/>
  <c r="J190" i="36"/>
  <c r="J171" i="36"/>
  <c r="K171" i="36" s="1"/>
  <c r="J170" i="36"/>
  <c r="K170" i="36" s="1"/>
  <c r="G137" i="36"/>
  <c r="J176" i="36"/>
  <c r="K176" i="36" s="1"/>
  <c r="I153" i="36"/>
  <c r="I148" i="36"/>
  <c r="J141" i="36"/>
  <c r="K141" i="36" s="1"/>
  <c r="J177" i="36"/>
  <c r="K177" i="36" s="1"/>
  <c r="K151" i="36"/>
  <c r="G167" i="36"/>
  <c r="J137" i="36"/>
  <c r="K135" i="36"/>
  <c r="J165" i="36"/>
  <c r="K165" i="36" s="1"/>
  <c r="J143" i="36"/>
  <c r="K143" i="36" s="1"/>
  <c r="E3" i="36"/>
  <c r="G173" i="36"/>
  <c r="J83" i="36"/>
  <c r="G160" i="36"/>
  <c r="J160" i="36"/>
  <c r="F182" i="36"/>
  <c r="H148" i="36"/>
  <c r="I137" i="36"/>
  <c r="J74" i="36"/>
  <c r="N74" i="36" s="1"/>
  <c r="J73" i="36"/>
  <c r="N73" i="36" s="1"/>
  <c r="J67" i="36"/>
  <c r="N67" i="36" s="1"/>
  <c r="J64" i="36"/>
  <c r="N64" i="36" s="1"/>
  <c r="J57" i="36"/>
  <c r="N57" i="36" s="1"/>
  <c r="J50" i="36"/>
  <c r="N50" i="36" s="1"/>
  <c r="J39" i="36"/>
  <c r="N39" i="36" s="1"/>
  <c r="J32" i="36"/>
  <c r="I32" i="36"/>
  <c r="D3" i="36"/>
  <c r="I82" i="36"/>
  <c r="I85" i="36" s="1"/>
  <c r="J82" i="36"/>
  <c r="J66" i="36"/>
  <c r="N66" i="36" s="1"/>
  <c r="J59" i="36"/>
  <c r="N59" i="36" s="1"/>
  <c r="J52" i="36"/>
  <c r="N52" i="36" s="1"/>
  <c r="J45" i="36"/>
  <c r="N45" i="36" s="1"/>
  <c r="J38" i="36"/>
  <c r="N38" i="36" s="1"/>
  <c r="I31" i="36"/>
  <c r="J31" i="36"/>
  <c r="J178" i="36"/>
  <c r="K178" i="36" s="1"/>
  <c r="G180" i="36"/>
  <c r="J65" i="36"/>
  <c r="N65" i="36" s="1"/>
  <c r="J58" i="36"/>
  <c r="N58" i="36" s="1"/>
  <c r="J51" i="36"/>
  <c r="N51" i="36" s="1"/>
  <c r="J44" i="36"/>
  <c r="N44" i="36" s="1"/>
  <c r="J37" i="36"/>
  <c r="N37" i="36" s="1"/>
  <c r="H180" i="36"/>
  <c r="H173" i="36"/>
  <c r="G148" i="36"/>
  <c r="J84" i="36"/>
  <c r="J30" i="36"/>
  <c r="G79" i="35"/>
  <c r="I79" i="35" s="1"/>
  <c r="G81" i="35"/>
  <c r="I81" i="35" s="1"/>
  <c r="L81" i="35" s="1"/>
  <c r="G83" i="35"/>
  <c r="I83" i="35" s="1"/>
  <c r="G85" i="35"/>
  <c r="I85" i="35" s="1"/>
  <c r="G90" i="35"/>
  <c r="I90" i="35" s="1"/>
  <c r="G91" i="35"/>
  <c r="I91" i="35" s="1"/>
  <c r="G96" i="35"/>
  <c r="I96" i="35" s="1"/>
  <c r="G97" i="35"/>
  <c r="I97" i="35" s="1"/>
  <c r="G98" i="35"/>
  <c r="I98" i="35" s="1"/>
  <c r="H102" i="35"/>
  <c r="M102" i="35"/>
  <c r="F47" i="35" s="1"/>
  <c r="I110" i="35"/>
  <c r="J110" i="35" s="1"/>
  <c r="K110" i="35" s="1"/>
  <c r="I111" i="35"/>
  <c r="J111" i="35" s="1"/>
  <c r="I112" i="35"/>
  <c r="J112" i="35" s="1"/>
  <c r="K112" i="35" s="1"/>
  <c r="N112" i="35" s="1"/>
  <c r="I113" i="35"/>
  <c r="J113" i="35" s="1"/>
  <c r="L113" i="35" s="1"/>
  <c r="N113" i="35" s="1"/>
  <c r="I117" i="35"/>
  <c r="J117" i="35" s="1"/>
  <c r="I118" i="35"/>
  <c r="J118" i="35" s="1"/>
  <c r="H123" i="35"/>
  <c r="M123" i="35"/>
  <c r="F48" i="35" s="1"/>
  <c r="H128" i="35"/>
  <c r="J128" i="35" s="1"/>
  <c r="H129" i="35"/>
  <c r="J129" i="35" s="1"/>
  <c r="K129" i="35" s="1"/>
  <c r="H130" i="35"/>
  <c r="J130" i="35" s="1"/>
  <c r="H131" i="35"/>
  <c r="J131" i="35" s="1"/>
  <c r="H135" i="35"/>
  <c r="J135" i="35" s="1"/>
  <c r="H136" i="35"/>
  <c r="J136" i="35" s="1"/>
  <c r="H137" i="35"/>
  <c r="J137" i="35" s="1"/>
  <c r="I141" i="35"/>
  <c r="N141" i="35"/>
  <c r="F49" i="35" s="1"/>
  <c r="G148" i="35"/>
  <c r="I148" i="35" s="1"/>
  <c r="J148" i="35" s="1"/>
  <c r="G149" i="35"/>
  <c r="I149" i="35" s="1"/>
  <c r="G151" i="35"/>
  <c r="I151" i="35" s="1"/>
  <c r="G152" i="35"/>
  <c r="I152" i="35" s="1"/>
  <c r="J152" i="35" s="1"/>
  <c r="G157" i="35"/>
  <c r="I157" i="35" s="1"/>
  <c r="G158" i="35"/>
  <c r="I158" i="35" s="1"/>
  <c r="J158" i="35" s="1"/>
  <c r="G159" i="35"/>
  <c r="I159" i="35" s="1"/>
  <c r="H164" i="35"/>
  <c r="M164" i="35"/>
  <c r="F50" i="35" s="1"/>
  <c r="H171" i="35"/>
  <c r="J171" i="35" s="1"/>
  <c r="H172" i="35"/>
  <c r="J172" i="35" s="1"/>
  <c r="K172" i="35" s="1"/>
  <c r="H173" i="35"/>
  <c r="J173" i="35" s="1"/>
  <c r="H178" i="35"/>
  <c r="J178" i="35" s="1"/>
  <c r="K178" i="35" s="1"/>
  <c r="H179" i="35"/>
  <c r="J179" i="35" s="1"/>
  <c r="H180" i="35"/>
  <c r="J180" i="35" s="1"/>
  <c r="H181" i="35"/>
  <c r="J181" i="35" s="1"/>
  <c r="L181" i="35" s="1"/>
  <c r="H182" i="35"/>
  <c r="J182" i="35" s="1"/>
  <c r="H183" i="35"/>
  <c r="J183" i="35" s="1"/>
  <c r="H188" i="35"/>
  <c r="J188" i="35" s="1"/>
  <c r="H189" i="35"/>
  <c r="J189" i="35" s="1"/>
  <c r="H190" i="35"/>
  <c r="J190" i="35" s="1"/>
  <c r="H195" i="35"/>
  <c r="J195" i="35" s="1"/>
  <c r="H196" i="35"/>
  <c r="J196" i="35" s="1"/>
  <c r="H197" i="35"/>
  <c r="J197" i="35" s="1"/>
  <c r="H202" i="35"/>
  <c r="J202" i="35" s="1"/>
  <c r="H203" i="35"/>
  <c r="J203" i="35" s="1"/>
  <c r="H204" i="35"/>
  <c r="J204" i="35" s="1"/>
  <c r="H209" i="35"/>
  <c r="J209" i="35" s="1"/>
  <c r="H210" i="35"/>
  <c r="J210" i="35" s="1"/>
  <c r="H211" i="35"/>
  <c r="J211" i="35" s="1"/>
  <c r="K211" i="35" s="1"/>
  <c r="I216" i="35"/>
  <c r="N216" i="35"/>
  <c r="F51" i="35" s="1"/>
  <c r="F223" i="35"/>
  <c r="H223" i="35" s="1"/>
  <c r="I223" i="35" s="1"/>
  <c r="F224" i="35"/>
  <c r="H224" i="35" s="1"/>
  <c r="F225" i="35"/>
  <c r="H225" i="35" s="1"/>
  <c r="I225" i="35" s="1"/>
  <c r="J225" i="35" s="1"/>
  <c r="F226" i="35"/>
  <c r="H226" i="35" s="1"/>
  <c r="I226" i="35" s="1"/>
  <c r="F227" i="35"/>
  <c r="H227" i="35" s="1"/>
  <c r="I227" i="35" s="1"/>
  <c r="F228" i="35"/>
  <c r="H228" i="35" s="1"/>
  <c r="I228" i="35" s="1"/>
  <c r="J228" i="35" s="1"/>
  <c r="G233" i="35"/>
  <c r="I233" i="35" s="1"/>
  <c r="G234" i="35"/>
  <c r="I234" i="35" s="1"/>
  <c r="G235" i="35"/>
  <c r="I235" i="35" s="1"/>
  <c r="G236" i="35"/>
  <c r="I236" i="35" s="1"/>
  <c r="G241" i="35"/>
  <c r="I241" i="35" s="1"/>
  <c r="G242" i="35"/>
  <c r="I242" i="35" s="1"/>
  <c r="G243" i="35"/>
  <c r="I243" i="35" s="1"/>
  <c r="K243" i="35" s="1"/>
  <c r="G248" i="35"/>
  <c r="I248" i="35" s="1"/>
  <c r="J248" i="35" s="1"/>
  <c r="L248" i="35" s="1"/>
  <c r="G249" i="35"/>
  <c r="I249" i="35" s="1"/>
  <c r="J249" i="35" s="1"/>
  <c r="G250" i="35"/>
  <c r="I250" i="35" s="1"/>
  <c r="J250" i="35" s="1"/>
  <c r="G255" i="35"/>
  <c r="I255" i="35" s="1"/>
  <c r="J255" i="35" s="1"/>
  <c r="G256" i="35"/>
  <c r="I256" i="35" s="1"/>
  <c r="J256" i="35" s="1"/>
  <c r="G257" i="35"/>
  <c r="I257" i="35" s="1"/>
  <c r="J257" i="35" s="1"/>
  <c r="L257" i="35" s="1"/>
  <c r="G262" i="35"/>
  <c r="I262" i="35" s="1"/>
  <c r="G263" i="35"/>
  <c r="I263" i="35" s="1"/>
  <c r="J263" i="35" s="1"/>
  <c r="L263" i="35" s="1"/>
  <c r="G264" i="35"/>
  <c r="I264" i="35" s="1"/>
  <c r="J264" i="35" s="1"/>
  <c r="L264" i="35" s="1"/>
  <c r="G269" i="35"/>
  <c r="I269" i="35" s="1"/>
  <c r="G270" i="35"/>
  <c r="I270" i="35" s="1"/>
  <c r="J270" i="35" s="1"/>
  <c r="L270" i="35" s="1"/>
  <c r="G271" i="35"/>
  <c r="I271" i="35" s="1"/>
  <c r="J271" i="35" s="1"/>
  <c r="G276" i="35"/>
  <c r="I276" i="35" s="1"/>
  <c r="G277" i="35"/>
  <c r="I277" i="35" s="1"/>
  <c r="G278" i="35"/>
  <c r="I278" i="35" s="1"/>
  <c r="G279" i="35"/>
  <c r="I279" i="35" s="1"/>
  <c r="H284" i="35"/>
  <c r="M284" i="35"/>
  <c r="F52" i="35" s="1"/>
  <c r="H291" i="35"/>
  <c r="J291" i="35" s="1"/>
  <c r="H292" i="35"/>
  <c r="J292" i="35" s="1"/>
  <c r="H296" i="35"/>
  <c r="J296" i="35" s="1"/>
  <c r="H297" i="35"/>
  <c r="J297" i="35" s="1"/>
  <c r="H298" i="35"/>
  <c r="J298" i="35" s="1"/>
  <c r="H302" i="35"/>
  <c r="J302" i="35" s="1"/>
  <c r="H303" i="35"/>
  <c r="J303" i="35" s="1"/>
  <c r="H304" i="35"/>
  <c r="J304" i="35" s="1"/>
  <c r="K304" i="35" s="1"/>
  <c r="H305" i="35"/>
  <c r="J305" i="35" s="1"/>
  <c r="M305" i="35" s="1"/>
  <c r="H309" i="35"/>
  <c r="J309" i="35" s="1"/>
  <c r="H310" i="35"/>
  <c r="J310" i="35" s="1"/>
  <c r="H311" i="35"/>
  <c r="J311" i="35" s="1"/>
  <c r="H312" i="35"/>
  <c r="J312" i="35" s="1"/>
  <c r="H316" i="35"/>
  <c r="J316" i="35" s="1"/>
  <c r="H317" i="35"/>
  <c r="J317" i="35" s="1"/>
  <c r="H318" i="35"/>
  <c r="J318" i="35" s="1"/>
  <c r="K318" i="35" s="1"/>
  <c r="H319" i="35"/>
  <c r="J319" i="35" s="1"/>
  <c r="M319" i="35" s="1"/>
  <c r="H323" i="35"/>
  <c r="J323" i="35" s="1"/>
  <c r="M323" i="35" s="1"/>
  <c r="H324" i="35"/>
  <c r="J324" i="35" s="1"/>
  <c r="H325" i="35"/>
  <c r="J325" i="35" s="1"/>
  <c r="H326" i="35"/>
  <c r="J326" i="35" s="1"/>
  <c r="H330" i="35"/>
  <c r="J330" i="35" s="1"/>
  <c r="H331" i="35"/>
  <c r="J331" i="35" s="1"/>
  <c r="K331" i="35" s="1"/>
  <c r="O331" i="35" s="1"/>
  <c r="H332" i="35"/>
  <c r="J332" i="35" s="1"/>
  <c r="K332" i="35" s="1"/>
  <c r="O332" i="35" s="1"/>
  <c r="H333" i="35"/>
  <c r="J333" i="35" s="1"/>
  <c r="K333" i="35" s="1"/>
  <c r="O333" i="35" s="1"/>
  <c r="I337" i="35"/>
  <c r="N337" i="35"/>
  <c r="F53" i="35" s="1"/>
  <c r="G344" i="35"/>
  <c r="I344" i="35" s="1"/>
  <c r="J344" i="35" s="1"/>
  <c r="G345" i="35"/>
  <c r="I345" i="35" s="1"/>
  <c r="J345" i="35" s="1"/>
  <c r="N345" i="35" s="1"/>
  <c r="G346" i="35"/>
  <c r="I346" i="35" s="1"/>
  <c r="J346" i="35" s="1"/>
  <c r="N346" i="35" s="1"/>
  <c r="G347" i="35"/>
  <c r="I347" i="35" s="1"/>
  <c r="J347" i="35" s="1"/>
  <c r="N347" i="35" s="1"/>
  <c r="G348" i="35"/>
  <c r="I348" i="35" s="1"/>
  <c r="J348" i="35" s="1"/>
  <c r="N348" i="35" s="1"/>
  <c r="G349" i="35"/>
  <c r="I349" i="35" s="1"/>
  <c r="J349" i="35" s="1"/>
  <c r="G354" i="35"/>
  <c r="I354" i="35" s="1"/>
  <c r="J354" i="35" s="1"/>
  <c r="N354" i="35" s="1"/>
  <c r="G355" i="35"/>
  <c r="I355" i="35" s="1"/>
  <c r="J355" i="35" s="1"/>
  <c r="N355" i="35" s="1"/>
  <c r="G356" i="35"/>
  <c r="I356" i="35" s="1"/>
  <c r="J356" i="35" s="1"/>
  <c r="N356" i="35" s="1"/>
  <c r="H361" i="35"/>
  <c r="K361" i="35"/>
  <c r="D54" i="35" s="1"/>
  <c r="L361" i="35"/>
  <c r="E54" i="35" s="1"/>
  <c r="M361" i="35"/>
  <c r="F54" i="35" s="1"/>
  <c r="G368" i="35"/>
  <c r="I368" i="35" s="1"/>
  <c r="G369" i="35"/>
  <c r="I369" i="35" s="1"/>
  <c r="J369" i="35" s="1"/>
  <c r="N369" i="35" s="1"/>
  <c r="G373" i="35"/>
  <c r="I373" i="35" s="1"/>
  <c r="H378" i="35"/>
  <c r="K378" i="35"/>
  <c r="D61" i="35" s="1"/>
  <c r="L378" i="35"/>
  <c r="E61" i="35" s="1"/>
  <c r="M378" i="35"/>
  <c r="F61" i="35" s="1"/>
  <c r="G383" i="35"/>
  <c r="I383" i="35" s="1"/>
  <c r="J383" i="35" s="1"/>
  <c r="N383" i="35" s="1"/>
  <c r="G384" i="35"/>
  <c r="I384" i="35" s="1"/>
  <c r="G389" i="35"/>
  <c r="I389" i="35" s="1"/>
  <c r="H394" i="35"/>
  <c r="K394" i="35"/>
  <c r="D62" i="35" s="1"/>
  <c r="L394" i="35"/>
  <c r="E62" i="35" s="1"/>
  <c r="M394" i="35"/>
  <c r="F62" i="35" s="1"/>
  <c r="H400" i="35"/>
  <c r="J400" i="35" s="1"/>
  <c r="K400" i="35" s="1"/>
  <c r="H401" i="35"/>
  <c r="J401" i="35" s="1"/>
  <c r="K401" i="35" s="1"/>
  <c r="O401" i="35" s="1"/>
  <c r="H406" i="35"/>
  <c r="J406" i="35" s="1"/>
  <c r="H407" i="35"/>
  <c r="J407" i="35" s="1"/>
  <c r="K407" i="35" s="1"/>
  <c r="O407" i="35" s="1"/>
  <c r="H408" i="35"/>
  <c r="J408" i="35" s="1"/>
  <c r="K408" i="35" s="1"/>
  <c r="O408" i="35" s="1"/>
  <c r="I413" i="35"/>
  <c r="L413" i="35"/>
  <c r="D63" i="35" s="1"/>
  <c r="M413" i="35"/>
  <c r="E63" i="35" s="1"/>
  <c r="N413" i="35"/>
  <c r="F63" i="35" s="1"/>
  <c r="G419" i="35"/>
  <c r="I419" i="35" s="1"/>
  <c r="G420" i="35"/>
  <c r="I420" i="35" s="1"/>
  <c r="J420" i="35" s="1"/>
  <c r="N420" i="35" s="1"/>
  <c r="G425" i="35"/>
  <c r="I425" i="35" s="1"/>
  <c r="G426" i="35"/>
  <c r="I426" i="35" s="1"/>
  <c r="J426" i="35" s="1"/>
  <c r="N426" i="35" s="1"/>
  <c r="H431" i="35"/>
  <c r="K431" i="35"/>
  <c r="D64" i="35" s="1"/>
  <c r="L431" i="35"/>
  <c r="E64" i="35" s="1"/>
  <c r="M431" i="35"/>
  <c r="F64" i="35" s="1"/>
  <c r="H437" i="35"/>
  <c r="J437" i="35" s="1"/>
  <c r="K437" i="35" s="1"/>
  <c r="O437" i="35" s="1"/>
  <c r="H438" i="35"/>
  <c r="J438" i="35" s="1"/>
  <c r="K438" i="35" s="1"/>
  <c r="O438" i="35" s="1"/>
  <c r="H439" i="35"/>
  <c r="J439" i="35" s="1"/>
  <c r="K439" i="35" s="1"/>
  <c r="O439" i="35" s="1"/>
  <c r="H440" i="35"/>
  <c r="J440" i="35" s="1"/>
  <c r="K440" i="35" s="1"/>
  <c r="O440" i="35" s="1"/>
  <c r="H447" i="35"/>
  <c r="J447" i="35" s="1"/>
  <c r="K447" i="35" s="1"/>
  <c r="H448" i="35"/>
  <c r="J448" i="35" s="1"/>
  <c r="K448" i="35" s="1"/>
  <c r="O448" i="35" s="1"/>
  <c r="H454" i="35"/>
  <c r="J454" i="35" s="1"/>
  <c r="K454" i="35" s="1"/>
  <c r="O454" i="35" s="1"/>
  <c r="H455" i="35"/>
  <c r="J455" i="35" s="1"/>
  <c r="K455" i="35" s="1"/>
  <c r="O455" i="35" s="1"/>
  <c r="H461" i="35"/>
  <c r="J461" i="35" s="1"/>
  <c r="K461" i="35" s="1"/>
  <c r="O461" i="35" s="1"/>
  <c r="H462" i="35"/>
  <c r="J462" i="35" s="1"/>
  <c r="K462" i="35" s="1"/>
  <c r="O462" i="35" s="1"/>
  <c r="H468" i="35"/>
  <c r="J468" i="35" s="1"/>
  <c r="K468" i="35" s="1"/>
  <c r="O468" i="35" s="1"/>
  <c r="H469" i="35"/>
  <c r="J469" i="35" s="1"/>
  <c r="I474" i="35"/>
  <c r="L474" i="35"/>
  <c r="D65" i="35" s="1"/>
  <c r="M474" i="35"/>
  <c r="E65" i="35" s="1"/>
  <c r="N474" i="35"/>
  <c r="F65" i="35" s="1"/>
  <c r="G480" i="35"/>
  <c r="I480" i="35" s="1"/>
  <c r="G481" i="35"/>
  <c r="I481" i="35" s="1"/>
  <c r="J481" i="35" s="1"/>
  <c r="N481" i="35" s="1"/>
  <c r="G482" i="35"/>
  <c r="I482" i="35" s="1"/>
  <c r="J482" i="35" s="1"/>
  <c r="N482" i="35" s="1"/>
  <c r="G487" i="35"/>
  <c r="I487" i="35" s="1"/>
  <c r="G488" i="35"/>
  <c r="I488" i="35" s="1"/>
  <c r="J488" i="35" s="1"/>
  <c r="N488" i="35" s="1"/>
  <c r="G493" i="35"/>
  <c r="I493" i="35" s="1"/>
  <c r="G494" i="35"/>
  <c r="I494" i="35" s="1"/>
  <c r="J494" i="35" s="1"/>
  <c r="N494" i="35" s="1"/>
  <c r="G499" i="35"/>
  <c r="I499" i="35" s="1"/>
  <c r="G500" i="35"/>
  <c r="I500" i="35" s="1"/>
  <c r="J500" i="35" s="1"/>
  <c r="N500" i="35" s="1"/>
  <c r="G505" i="35"/>
  <c r="I505" i="35" s="1"/>
  <c r="G506" i="35"/>
  <c r="I506" i="35" s="1"/>
  <c r="J506" i="35" s="1"/>
  <c r="N506" i="35" s="1"/>
  <c r="G511" i="35"/>
  <c r="I511" i="35" s="1"/>
  <c r="G512" i="35"/>
  <c r="I512" i="35" s="1"/>
  <c r="J512" i="35" s="1"/>
  <c r="N512" i="35" s="1"/>
  <c r="G513" i="35"/>
  <c r="I513" i="35" s="1"/>
  <c r="J513" i="35" s="1"/>
  <c r="N513" i="35" s="1"/>
  <c r="G518" i="35"/>
  <c r="I518" i="35" s="1"/>
  <c r="G519" i="35"/>
  <c r="I519" i="35" s="1"/>
  <c r="J519" i="35" s="1"/>
  <c r="N519" i="35" s="1"/>
  <c r="G524" i="35"/>
  <c r="I524" i="35" s="1"/>
  <c r="G525" i="35"/>
  <c r="I525" i="35" s="1"/>
  <c r="J525" i="35" s="1"/>
  <c r="N525" i="35" s="1"/>
  <c r="H530" i="35"/>
  <c r="K530" i="35"/>
  <c r="D66" i="35" s="1"/>
  <c r="L530" i="35"/>
  <c r="E66" i="35" s="1"/>
  <c r="M530" i="35"/>
  <c r="F66" i="35" s="1"/>
  <c r="H537" i="35"/>
  <c r="J537" i="35" s="1"/>
  <c r="K537" i="35" s="1"/>
  <c r="O537" i="35" s="1"/>
  <c r="H538" i="35"/>
  <c r="J538" i="35" s="1"/>
  <c r="K538" i="35" s="1"/>
  <c r="O538" i="35" s="1"/>
  <c r="H539" i="35"/>
  <c r="J539" i="35" s="1"/>
  <c r="K539" i="35" s="1"/>
  <c r="O539" i="35" s="1"/>
  <c r="H540" i="35"/>
  <c r="J540" i="35" s="1"/>
  <c r="K540" i="35" s="1"/>
  <c r="O540" i="35" s="1"/>
  <c r="H546" i="35"/>
  <c r="J546" i="35" s="1"/>
  <c r="K546" i="35" s="1"/>
  <c r="O546" i="35" s="1"/>
  <c r="H547" i="35"/>
  <c r="J547" i="35" s="1"/>
  <c r="K547" i="35" s="1"/>
  <c r="O547" i="35" s="1"/>
  <c r="H548" i="35"/>
  <c r="J548" i="35" s="1"/>
  <c r="K548" i="35" s="1"/>
  <c r="O548" i="35" s="1"/>
  <c r="H549" i="35"/>
  <c r="J549" i="35" s="1"/>
  <c r="K549" i="35" s="1"/>
  <c r="O549" i="35" s="1"/>
  <c r="H555" i="35"/>
  <c r="J555" i="35" s="1"/>
  <c r="H556" i="35"/>
  <c r="J556" i="35" s="1"/>
  <c r="K556" i="35" s="1"/>
  <c r="O556" i="35" s="1"/>
  <c r="H557" i="35"/>
  <c r="J557" i="35" s="1"/>
  <c r="K557" i="35" s="1"/>
  <c r="O557" i="35" s="1"/>
  <c r="H558" i="35"/>
  <c r="J558" i="35" s="1"/>
  <c r="K558" i="35" s="1"/>
  <c r="O558" i="35" s="1"/>
  <c r="H564" i="35"/>
  <c r="J564" i="35" s="1"/>
  <c r="K564" i="35" s="1"/>
  <c r="O564" i="35" s="1"/>
  <c r="H565" i="35"/>
  <c r="J565" i="35" s="1"/>
  <c r="K565" i="35" s="1"/>
  <c r="O565" i="35" s="1"/>
  <c r="H566" i="35"/>
  <c r="J566" i="35" s="1"/>
  <c r="K566" i="35" s="1"/>
  <c r="O566" i="35" s="1"/>
  <c r="H567" i="35"/>
  <c r="J567" i="35" s="1"/>
  <c r="K567" i="35" s="1"/>
  <c r="O567" i="35" s="1"/>
  <c r="H573" i="35"/>
  <c r="J573" i="35" s="1"/>
  <c r="H574" i="35"/>
  <c r="J574" i="35" s="1"/>
  <c r="K574" i="35" s="1"/>
  <c r="O574" i="35" s="1"/>
  <c r="H575" i="35"/>
  <c r="J575" i="35" s="1"/>
  <c r="K575" i="35" s="1"/>
  <c r="O575" i="35" s="1"/>
  <c r="H576" i="35"/>
  <c r="J576" i="35" s="1"/>
  <c r="K576" i="35" s="1"/>
  <c r="O576" i="35" s="1"/>
  <c r="H582" i="35"/>
  <c r="J582" i="35" s="1"/>
  <c r="K582" i="35" s="1"/>
  <c r="O582" i="35" s="1"/>
  <c r="H583" i="35"/>
  <c r="J583" i="35" s="1"/>
  <c r="K583" i="35" s="1"/>
  <c r="O583" i="35" s="1"/>
  <c r="H584" i="35"/>
  <c r="J584" i="35" s="1"/>
  <c r="K584" i="35" s="1"/>
  <c r="O584" i="35" s="1"/>
  <c r="H585" i="35"/>
  <c r="J585" i="35" s="1"/>
  <c r="K585" i="35" s="1"/>
  <c r="O585" i="35" s="1"/>
  <c r="H590" i="35"/>
  <c r="J590" i="35" s="1"/>
  <c r="H591" i="35"/>
  <c r="J591" i="35" s="1"/>
  <c r="K591" i="35" s="1"/>
  <c r="O591" i="35" s="1"/>
  <c r="H592" i="35"/>
  <c r="J592" i="35" s="1"/>
  <c r="K592" i="35" s="1"/>
  <c r="O592" i="35" s="1"/>
  <c r="H593" i="35"/>
  <c r="J593" i="35" s="1"/>
  <c r="K593" i="35" s="1"/>
  <c r="O593" i="35" s="1"/>
  <c r="H594" i="35"/>
  <c r="J594" i="35" s="1"/>
  <c r="K594" i="35" s="1"/>
  <c r="O594" i="35" s="1"/>
  <c r="I598" i="35"/>
  <c r="L598" i="35"/>
  <c r="D67" i="35" s="1"/>
  <c r="M598" i="35"/>
  <c r="E67" i="35" s="1"/>
  <c r="N598" i="35"/>
  <c r="F67" i="35" s="1"/>
  <c r="G606" i="35"/>
  <c r="I606" i="35" s="1"/>
  <c r="J606" i="35" s="1"/>
  <c r="N606" i="35" s="1"/>
  <c r="G607" i="35"/>
  <c r="I607" i="35" s="1"/>
  <c r="J607" i="35" s="1"/>
  <c r="N607" i="35" s="1"/>
  <c r="G608" i="35"/>
  <c r="I608" i="35" s="1"/>
  <c r="J608" i="35" s="1"/>
  <c r="N608" i="35" s="1"/>
  <c r="G609" i="35"/>
  <c r="I609" i="35" s="1"/>
  <c r="J609" i="35" s="1"/>
  <c r="N609" i="35" s="1"/>
  <c r="G615" i="35"/>
  <c r="I615" i="35" s="1"/>
  <c r="J615" i="35" s="1"/>
  <c r="N615" i="35" s="1"/>
  <c r="N617" i="35" s="1"/>
  <c r="G621" i="35"/>
  <c r="I621" i="35" s="1"/>
  <c r="J621" i="35" s="1"/>
  <c r="N621" i="35" s="1"/>
  <c r="H626" i="35"/>
  <c r="K626" i="35"/>
  <c r="D68" i="35" s="1"/>
  <c r="L626" i="35"/>
  <c r="E68" i="35" s="1"/>
  <c r="M626" i="35"/>
  <c r="F68" i="35" s="1"/>
  <c r="L191" i="36" l="1"/>
  <c r="J85" i="36"/>
  <c r="K182" i="36"/>
  <c r="N30" i="36"/>
  <c r="J78" i="36"/>
  <c r="N76" i="36"/>
  <c r="J167" i="36"/>
  <c r="I182" i="36"/>
  <c r="J173" i="36"/>
  <c r="F20" i="35"/>
  <c r="F35" i="35"/>
  <c r="F15" i="35"/>
  <c r="F30" i="35"/>
  <c r="E22" i="35"/>
  <c r="E37" i="35"/>
  <c r="F21" i="35"/>
  <c r="F36" i="35"/>
  <c r="F19" i="35"/>
  <c r="F34" i="35"/>
  <c r="F17" i="35"/>
  <c r="F32" i="35"/>
  <c r="F22" i="35"/>
  <c r="F37" i="35"/>
  <c r="F16" i="35"/>
  <c r="F31" i="35"/>
  <c r="D22" i="35"/>
  <c r="D37" i="35"/>
  <c r="F18" i="35"/>
  <c r="F33" i="35"/>
  <c r="F5" i="35"/>
  <c r="F8" i="35"/>
  <c r="F3" i="35"/>
  <c r="E10" i="35"/>
  <c r="F9" i="35"/>
  <c r="F7" i="35"/>
  <c r="F10" i="35"/>
  <c r="F4" i="35"/>
  <c r="D10" i="35"/>
  <c r="F6" i="35"/>
  <c r="N349" i="35"/>
  <c r="L111" i="35"/>
  <c r="M318" i="35"/>
  <c r="O318" i="35" s="1"/>
  <c r="O457" i="35"/>
  <c r="M228" i="35"/>
  <c r="K309" i="35"/>
  <c r="M309" i="35"/>
  <c r="L296" i="35"/>
  <c r="K296" i="35"/>
  <c r="J242" i="35"/>
  <c r="K242" i="35"/>
  <c r="J236" i="35"/>
  <c r="K236" i="35"/>
  <c r="I617" i="35"/>
  <c r="I114" i="35"/>
  <c r="K305" i="35"/>
  <c r="O305" i="35" s="1"/>
  <c r="I120" i="35"/>
  <c r="K277" i="35"/>
  <c r="J277" i="35"/>
  <c r="I484" i="35"/>
  <c r="J480" i="35"/>
  <c r="N480" i="35" s="1"/>
  <c r="N484" i="35" s="1"/>
  <c r="I391" i="35"/>
  <c r="J389" i="35"/>
  <c r="N389" i="35" s="1"/>
  <c r="N391" i="35" s="1"/>
  <c r="J276" i="35"/>
  <c r="K276" i="35"/>
  <c r="K128" i="35"/>
  <c r="L128" i="35"/>
  <c r="J85" i="35"/>
  <c r="L85" i="35"/>
  <c r="L102" i="35" s="1"/>
  <c r="E47" i="35" s="1"/>
  <c r="J518" i="35"/>
  <c r="N518" i="35" s="1"/>
  <c r="N521" i="35" s="1"/>
  <c r="I521" i="35"/>
  <c r="J410" i="35"/>
  <c r="K406" i="35"/>
  <c r="O406" i="35" s="1"/>
  <c r="O410" i="35" s="1"/>
  <c r="J384" i="35"/>
  <c r="N384" i="35" s="1"/>
  <c r="N386" i="35" s="1"/>
  <c r="I386" i="35"/>
  <c r="M324" i="35"/>
  <c r="K324" i="35"/>
  <c r="L291" i="35"/>
  <c r="J293" i="35"/>
  <c r="K291" i="35"/>
  <c r="L171" i="35"/>
  <c r="K171" i="35"/>
  <c r="J419" i="35"/>
  <c r="N419" i="35" s="1"/>
  <c r="N422" i="35" s="1"/>
  <c r="I422" i="35"/>
  <c r="I611" i="35"/>
  <c r="J542" i="35"/>
  <c r="O542" i="35"/>
  <c r="N611" i="35"/>
  <c r="N626" i="35" s="1"/>
  <c r="J457" i="35"/>
  <c r="J442" i="35"/>
  <c r="J243" i="35"/>
  <c r="N243" i="35" s="1"/>
  <c r="O442" i="35"/>
  <c r="M304" i="35"/>
  <c r="O304" i="35" s="1"/>
  <c r="J180" i="36"/>
  <c r="N31" i="36"/>
  <c r="J148" i="36"/>
  <c r="N47" i="36"/>
  <c r="H182" i="36"/>
  <c r="N54" i="36"/>
  <c r="N69" i="36"/>
  <c r="N41" i="36"/>
  <c r="N32" i="36"/>
  <c r="G182" i="36"/>
  <c r="N61" i="36"/>
  <c r="I78" i="36"/>
  <c r="J524" i="35"/>
  <c r="N524" i="35" s="1"/>
  <c r="N527" i="35" s="1"/>
  <c r="I527" i="35"/>
  <c r="J493" i="35"/>
  <c r="N493" i="35" s="1"/>
  <c r="N496" i="35" s="1"/>
  <c r="I496" i="35"/>
  <c r="O587" i="35"/>
  <c r="O569" i="35"/>
  <c r="O551" i="35"/>
  <c r="J471" i="35"/>
  <c r="K469" i="35"/>
  <c r="O469" i="35" s="1"/>
  <c r="O471" i="35" s="1"/>
  <c r="J425" i="35"/>
  <c r="I428" i="35"/>
  <c r="L271" i="35"/>
  <c r="N271" i="35" s="1"/>
  <c r="J595" i="35"/>
  <c r="K590" i="35"/>
  <c r="J578" i="35"/>
  <c r="K573" i="35"/>
  <c r="O573" i="35" s="1"/>
  <c r="O578" i="35" s="1"/>
  <c r="J560" i="35"/>
  <c r="K555" i="35"/>
  <c r="O555" i="35" s="1"/>
  <c r="O560" i="35" s="1"/>
  <c r="J511" i="35"/>
  <c r="N511" i="35" s="1"/>
  <c r="N515" i="35" s="1"/>
  <c r="I515" i="35"/>
  <c r="J499" i="35"/>
  <c r="N499" i="35" s="1"/>
  <c r="N502" i="35" s="1"/>
  <c r="I502" i="35"/>
  <c r="J487" i="35"/>
  <c r="I490" i="35"/>
  <c r="O464" i="35"/>
  <c r="O447" i="35"/>
  <c r="O450" i="35" s="1"/>
  <c r="L255" i="35"/>
  <c r="N255" i="35" s="1"/>
  <c r="I508" i="35"/>
  <c r="J505" i="35"/>
  <c r="N505" i="35" s="1"/>
  <c r="N508" i="35" s="1"/>
  <c r="J626" i="35"/>
  <c r="C68" i="35" s="1"/>
  <c r="O400" i="35"/>
  <c r="O403" i="35" s="1"/>
  <c r="N358" i="35"/>
  <c r="K312" i="35"/>
  <c r="M312" i="35"/>
  <c r="K303" i="35"/>
  <c r="M303" i="35"/>
  <c r="K298" i="35"/>
  <c r="L298" i="35"/>
  <c r="I281" i="35"/>
  <c r="I224" i="35"/>
  <c r="H230" i="35"/>
  <c r="M209" i="35"/>
  <c r="J213" i="35"/>
  <c r="K209" i="35"/>
  <c r="K189" i="35"/>
  <c r="M189" i="35"/>
  <c r="K135" i="35"/>
  <c r="L135" i="35"/>
  <c r="J138" i="35"/>
  <c r="J83" i="35"/>
  <c r="K83" i="35"/>
  <c r="J587" i="35"/>
  <c r="J569" i="35"/>
  <c r="J551" i="35"/>
  <c r="J464" i="35"/>
  <c r="J450" i="35"/>
  <c r="J403" i="35"/>
  <c r="I358" i="35"/>
  <c r="J327" i="35"/>
  <c r="K323" i="35"/>
  <c r="O323" i="35" s="1"/>
  <c r="K316" i="35"/>
  <c r="M316" i="35"/>
  <c r="J320" i="35"/>
  <c r="K311" i="35"/>
  <c r="M311" i="35"/>
  <c r="K302" i="35"/>
  <c r="M302" i="35"/>
  <c r="J306" i="35"/>
  <c r="K297" i="35"/>
  <c r="L297" i="35"/>
  <c r="J278" i="35"/>
  <c r="K278" i="35"/>
  <c r="J269" i="35"/>
  <c r="I273" i="35"/>
  <c r="N263" i="35"/>
  <c r="N257" i="35"/>
  <c r="N248" i="35"/>
  <c r="J361" i="35"/>
  <c r="C54" i="35" s="1"/>
  <c r="N344" i="35"/>
  <c r="K317" i="35"/>
  <c r="M317" i="35"/>
  <c r="M310" i="35"/>
  <c r="J313" i="35"/>
  <c r="J279" i="35"/>
  <c r="K279" i="35"/>
  <c r="J234" i="35"/>
  <c r="K234" i="35"/>
  <c r="J226" i="35"/>
  <c r="M226" i="35" s="1"/>
  <c r="M197" i="35"/>
  <c r="K197" i="35"/>
  <c r="K151" i="35"/>
  <c r="J151" i="35"/>
  <c r="J98" i="35"/>
  <c r="K98" i="35"/>
  <c r="I375" i="35"/>
  <c r="J373" i="35"/>
  <c r="N373" i="35" s="1"/>
  <c r="J368" i="35"/>
  <c r="I371" i="35"/>
  <c r="I351" i="35"/>
  <c r="K326" i="35"/>
  <c r="M326" i="35"/>
  <c r="N270" i="35"/>
  <c r="I259" i="35"/>
  <c r="L249" i="35"/>
  <c r="N249" i="35" s="1"/>
  <c r="J241" i="35"/>
  <c r="K241" i="35"/>
  <c r="I245" i="35"/>
  <c r="J233" i="35"/>
  <c r="N233" i="35" s="1"/>
  <c r="I238" i="35"/>
  <c r="J227" i="35"/>
  <c r="M227" i="35" s="1"/>
  <c r="L250" i="35"/>
  <c r="N250" i="35" s="1"/>
  <c r="J90" i="35"/>
  <c r="I93" i="35"/>
  <c r="K90" i="35"/>
  <c r="K330" i="35"/>
  <c r="O330" i="35" s="1"/>
  <c r="O334" i="35" s="1"/>
  <c r="J334" i="35"/>
  <c r="K325" i="35"/>
  <c r="M325" i="35"/>
  <c r="K319" i="35"/>
  <c r="O319" i="35" s="1"/>
  <c r="K310" i="35"/>
  <c r="K292" i="35"/>
  <c r="L292" i="35"/>
  <c r="N264" i="35"/>
  <c r="J262" i="35"/>
  <c r="I266" i="35"/>
  <c r="L256" i="35"/>
  <c r="N256" i="35" s="1"/>
  <c r="I252" i="35"/>
  <c r="J235" i="35"/>
  <c r="K235" i="35"/>
  <c r="M225" i="35"/>
  <c r="E70" i="35"/>
  <c r="J223" i="35"/>
  <c r="M223" i="35" s="1"/>
  <c r="K204" i="35"/>
  <c r="M204" i="35"/>
  <c r="K196" i="35"/>
  <c r="M196" i="35"/>
  <c r="K188" i="35"/>
  <c r="M188" i="35"/>
  <c r="J192" i="35"/>
  <c r="K157" i="35"/>
  <c r="I161" i="35"/>
  <c r="J157" i="35"/>
  <c r="J149" i="35"/>
  <c r="K149" i="35"/>
  <c r="I154" i="35"/>
  <c r="I164" i="35" s="1"/>
  <c r="K131" i="35"/>
  <c r="M131" i="35"/>
  <c r="J97" i="35"/>
  <c r="K97" i="35"/>
  <c r="M203" i="35"/>
  <c r="K203" i="35"/>
  <c r="K195" i="35"/>
  <c r="M195" i="35"/>
  <c r="J199" i="35"/>
  <c r="K183" i="35"/>
  <c r="L183" i="35"/>
  <c r="K180" i="35"/>
  <c r="L180" i="35"/>
  <c r="J175" i="35"/>
  <c r="K173" i="35"/>
  <c r="L173" i="35"/>
  <c r="J159" i="35"/>
  <c r="K159" i="35"/>
  <c r="L137" i="35"/>
  <c r="K137" i="35"/>
  <c r="K130" i="35"/>
  <c r="J132" i="35"/>
  <c r="L130" i="35"/>
  <c r="J123" i="35"/>
  <c r="C48" i="35" s="1"/>
  <c r="J96" i="35"/>
  <c r="K96" i="35"/>
  <c r="I100" i="35"/>
  <c r="J299" i="35"/>
  <c r="K210" i="35"/>
  <c r="M210" i="35"/>
  <c r="K202" i="35"/>
  <c r="M202" i="35"/>
  <c r="J206" i="35"/>
  <c r="K190" i="35"/>
  <c r="M190" i="35"/>
  <c r="K182" i="35"/>
  <c r="L182" i="35"/>
  <c r="J185" i="35"/>
  <c r="K179" i="35"/>
  <c r="L179" i="35"/>
  <c r="K136" i="35"/>
  <c r="L136" i="35"/>
  <c r="J91" i="35"/>
  <c r="K91" i="35"/>
  <c r="I87" i="35"/>
  <c r="J79" i="35"/>
  <c r="K79" i="35"/>
  <c r="K181" i="35"/>
  <c r="O181" i="35" s="1"/>
  <c r="J81" i="35"/>
  <c r="N81" i="35" s="1"/>
  <c r="M211" i="35"/>
  <c r="O211" i="35" s="1"/>
  <c r="L148" i="35"/>
  <c r="L164" i="35" s="1"/>
  <c r="E50" i="35" s="1"/>
  <c r="K118" i="35"/>
  <c r="N118" i="35" s="1"/>
  <c r="K117" i="35"/>
  <c r="L178" i="35"/>
  <c r="O178" i="35" s="1"/>
  <c r="L172" i="35"/>
  <c r="K158" i="35"/>
  <c r="N158" i="35" s="1"/>
  <c r="K152" i="35"/>
  <c r="M129" i="35"/>
  <c r="N110" i="35"/>
  <c r="D72" i="22"/>
  <c r="F59" i="22"/>
  <c r="D71" i="22" s="1"/>
  <c r="F53" i="22"/>
  <c r="D70" i="22" s="1"/>
  <c r="E41" i="22"/>
  <c r="D68" i="22"/>
  <c r="D13" i="23"/>
  <c r="D12" i="23"/>
  <c r="C4" i="36" l="1"/>
  <c r="J182" i="36"/>
  <c r="F41" i="35"/>
  <c r="E15" i="35"/>
  <c r="E30" i="35"/>
  <c r="E18" i="35"/>
  <c r="E33" i="35"/>
  <c r="C22" i="35"/>
  <c r="C37" i="35"/>
  <c r="F11" i="35"/>
  <c r="C10" i="35"/>
  <c r="E3" i="35"/>
  <c r="F25" i="35"/>
  <c r="E6" i="35"/>
  <c r="J141" i="35"/>
  <c r="N351" i="35"/>
  <c r="N361" i="35" s="1"/>
  <c r="O135" i="35"/>
  <c r="O291" i="35"/>
  <c r="N394" i="35"/>
  <c r="N277" i="35"/>
  <c r="I626" i="35"/>
  <c r="N242" i="35"/>
  <c r="O309" i="35"/>
  <c r="N276" i="35"/>
  <c r="I123" i="35"/>
  <c r="O296" i="35"/>
  <c r="N234" i="35"/>
  <c r="L123" i="35"/>
  <c r="E48" i="35" s="1"/>
  <c r="N111" i="35"/>
  <c r="N114" i="35" s="1"/>
  <c r="O413" i="35"/>
  <c r="K141" i="35"/>
  <c r="C49" i="35" s="1"/>
  <c r="O292" i="35"/>
  <c r="M141" i="35"/>
  <c r="E49" i="35" s="1"/>
  <c r="I431" i="35"/>
  <c r="I394" i="35"/>
  <c r="N85" i="35"/>
  <c r="N152" i="35"/>
  <c r="J394" i="35"/>
  <c r="C62" i="35" s="1"/>
  <c r="C31" i="35" s="1"/>
  <c r="O171" i="35"/>
  <c r="C23" i="12"/>
  <c r="C77" i="12"/>
  <c r="E77" i="12" s="1"/>
  <c r="D59" i="19" s="1"/>
  <c r="C71" i="15" s="1"/>
  <c r="C49" i="12"/>
  <c r="E49" i="12" s="1"/>
  <c r="D39" i="19" s="1"/>
  <c r="C47" i="15" s="1"/>
  <c r="N236" i="35"/>
  <c r="O303" i="35"/>
  <c r="O325" i="35"/>
  <c r="L337" i="35"/>
  <c r="D53" i="35" s="1"/>
  <c r="O302" i="35"/>
  <c r="O210" i="35"/>
  <c r="N96" i="35"/>
  <c r="L141" i="35"/>
  <c r="D49" i="35" s="1"/>
  <c r="O173" i="35"/>
  <c r="O195" i="35"/>
  <c r="I361" i="35"/>
  <c r="O474" i="35"/>
  <c r="O196" i="35"/>
  <c r="O209" i="35"/>
  <c r="O213" i="35" s="1"/>
  <c r="K474" i="35"/>
  <c r="C65" i="35" s="1"/>
  <c r="K123" i="35"/>
  <c r="D48" i="35" s="1"/>
  <c r="J337" i="35"/>
  <c r="O179" i="35"/>
  <c r="O202" i="35"/>
  <c r="O131" i="35"/>
  <c r="N157" i="35"/>
  <c r="O310" i="35"/>
  <c r="N90" i="35"/>
  <c r="K413" i="35"/>
  <c r="C63" i="35" s="1"/>
  <c r="O188" i="35"/>
  <c r="O204" i="35"/>
  <c r="N278" i="35"/>
  <c r="O316" i="35"/>
  <c r="J413" i="35"/>
  <c r="O189" i="35"/>
  <c r="O298" i="35"/>
  <c r="O312" i="35"/>
  <c r="O324" i="35"/>
  <c r="O128" i="35"/>
  <c r="L216" i="35"/>
  <c r="D51" i="35" s="1"/>
  <c r="J474" i="35"/>
  <c r="F32" i="22"/>
  <c r="D69" i="22" s="1"/>
  <c r="D73" i="22" s="1"/>
  <c r="N34" i="36"/>
  <c r="B3" i="36"/>
  <c r="B4" i="36"/>
  <c r="N252" i="35"/>
  <c r="J530" i="35"/>
  <c r="C66" i="35" s="1"/>
  <c r="N487" i="35"/>
  <c r="N490" i="35" s="1"/>
  <c r="N530" i="35" s="1"/>
  <c r="I102" i="35"/>
  <c r="O129" i="35"/>
  <c r="O172" i="35"/>
  <c r="O190" i="35"/>
  <c r="N117" i="35"/>
  <c r="N120" i="35" s="1"/>
  <c r="N148" i="35"/>
  <c r="N159" i="35"/>
  <c r="O183" i="35"/>
  <c r="O203" i="35"/>
  <c r="N97" i="35"/>
  <c r="M216" i="35"/>
  <c r="E51" i="35" s="1"/>
  <c r="N235" i="35"/>
  <c r="K337" i="35"/>
  <c r="C53" i="35" s="1"/>
  <c r="N241" i="35"/>
  <c r="O326" i="35"/>
  <c r="N98" i="35"/>
  <c r="O197" i="35"/>
  <c r="N279" i="35"/>
  <c r="O317" i="35"/>
  <c r="O297" i="35"/>
  <c r="N83" i="35"/>
  <c r="K598" i="35"/>
  <c r="C67" i="35" s="1"/>
  <c r="O590" i="35"/>
  <c r="O595" i="35" s="1"/>
  <c r="O598" i="35" s="1"/>
  <c r="N425" i="35"/>
  <c r="N428" i="35" s="1"/>
  <c r="N431" i="35" s="1"/>
  <c r="J431" i="35"/>
  <c r="C64" i="35" s="1"/>
  <c r="N79" i="35"/>
  <c r="J102" i="35"/>
  <c r="C47" i="35" s="1"/>
  <c r="K216" i="35"/>
  <c r="C51" i="35" s="1"/>
  <c r="O130" i="35"/>
  <c r="J164" i="35"/>
  <c r="C50" i="35" s="1"/>
  <c r="K164" i="35"/>
  <c r="D50" i="35" s="1"/>
  <c r="I284" i="35"/>
  <c r="N259" i="35"/>
  <c r="J598" i="35"/>
  <c r="I530" i="35"/>
  <c r="J378" i="35"/>
  <c r="C61" i="35" s="1"/>
  <c r="N368" i="35"/>
  <c r="L269" i="35"/>
  <c r="N269" i="35" s="1"/>
  <c r="N273" i="35" s="1"/>
  <c r="J216" i="35"/>
  <c r="K102" i="35"/>
  <c r="D47" i="35" s="1"/>
  <c r="N91" i="35"/>
  <c r="O136" i="35"/>
  <c r="O182" i="35"/>
  <c r="O137" i="35"/>
  <c r="O180" i="35"/>
  <c r="N149" i="35"/>
  <c r="L262" i="35"/>
  <c r="I378" i="35"/>
  <c r="N151" i="35"/>
  <c r="M337" i="35"/>
  <c r="E53" i="35" s="1"/>
  <c r="O311" i="35"/>
  <c r="J224" i="35"/>
  <c r="K284" i="35" s="1"/>
  <c r="D52" i="35" s="1"/>
  <c r="C16" i="35" l="1"/>
  <c r="D18" i="35"/>
  <c r="D33" i="35"/>
  <c r="D19" i="35"/>
  <c r="D34" i="35"/>
  <c r="E17" i="35"/>
  <c r="E32" i="35"/>
  <c r="E21" i="35"/>
  <c r="E36" i="35"/>
  <c r="E16" i="35"/>
  <c r="E31" i="35"/>
  <c r="C21" i="35"/>
  <c r="C36" i="35"/>
  <c r="C17" i="35"/>
  <c r="C32" i="35"/>
  <c r="C15" i="35"/>
  <c r="C30" i="35"/>
  <c r="E19" i="35"/>
  <c r="E34" i="35"/>
  <c r="C18" i="35"/>
  <c r="C33" i="35"/>
  <c r="D20" i="35"/>
  <c r="D35" i="35"/>
  <c r="D15" i="35"/>
  <c r="D30" i="35"/>
  <c r="C19" i="35"/>
  <c r="C34" i="35"/>
  <c r="D16" i="35"/>
  <c r="D31" i="35"/>
  <c r="D17" i="35"/>
  <c r="D32" i="35"/>
  <c r="D21" i="35"/>
  <c r="D36" i="35"/>
  <c r="E9" i="35"/>
  <c r="D8" i="35"/>
  <c r="C9" i="35"/>
  <c r="C5" i="35"/>
  <c r="D3" i="35"/>
  <c r="C7" i="35"/>
  <c r="D4" i="35"/>
  <c r="D5" i="35"/>
  <c r="D9" i="35"/>
  <c r="C6" i="35"/>
  <c r="E4" i="35"/>
  <c r="D6" i="35"/>
  <c r="C3" i="35"/>
  <c r="E7" i="35"/>
  <c r="D7" i="35"/>
  <c r="E5" i="35"/>
  <c r="C4" i="35"/>
  <c r="O306" i="35"/>
  <c r="O293" i="35"/>
  <c r="N245" i="35"/>
  <c r="N123" i="35"/>
  <c r="O327" i="35"/>
  <c r="N93" i="35"/>
  <c r="O206" i="35"/>
  <c r="L284" i="35"/>
  <c r="E52" i="35" s="1"/>
  <c r="E56" i="35" s="1"/>
  <c r="O299" i="35"/>
  <c r="N281" i="35"/>
  <c r="J284" i="35"/>
  <c r="C52" i="35" s="1"/>
  <c r="M224" i="35"/>
  <c r="M230" i="35" s="1"/>
  <c r="N100" i="35"/>
  <c r="N238" i="35"/>
  <c r="O192" i="35"/>
  <c r="N161" i="35"/>
  <c r="O175" i="35"/>
  <c r="O320" i="35"/>
  <c r="O199" i="35"/>
  <c r="N262" i="35"/>
  <c r="N266" i="35" s="1"/>
  <c r="C70" i="35"/>
  <c r="O313" i="35"/>
  <c r="O138" i="35"/>
  <c r="O185" i="35"/>
  <c r="F63" i="22"/>
  <c r="F64" i="22"/>
  <c r="N154" i="35"/>
  <c r="O132" i="35"/>
  <c r="N375" i="35"/>
  <c r="N371" i="35"/>
  <c r="N87" i="35"/>
  <c r="D41" i="35" l="1"/>
  <c r="C20" i="35"/>
  <c r="C25" i="35" s="1"/>
  <c r="C35" i="35"/>
  <c r="C41" i="35" s="1"/>
  <c r="E20" i="35"/>
  <c r="E25" i="35" s="1"/>
  <c r="E35" i="35"/>
  <c r="E41" i="35" s="1"/>
  <c r="C8" i="35"/>
  <c r="C11" i="35" s="1"/>
  <c r="D25" i="35"/>
  <c r="E8" i="35"/>
  <c r="E11" i="35" s="1"/>
  <c r="D11" i="35"/>
  <c r="C56" i="35"/>
  <c r="O337" i="35"/>
  <c r="N284" i="35"/>
  <c r="O216" i="35"/>
  <c r="N102" i="35"/>
  <c r="N164" i="35"/>
  <c r="O141" i="35"/>
  <c r="N378" i="35"/>
  <c r="H59" i="24" l="1"/>
  <c r="K20" i="12" l="1"/>
  <c r="K42" i="12"/>
  <c r="B43" i="12"/>
  <c r="C8" i="14" l="1"/>
  <c r="D8" i="14"/>
  <c r="E8" i="14"/>
  <c r="F8" i="14"/>
  <c r="G8" i="14"/>
  <c r="H8" i="14"/>
  <c r="B8" i="14"/>
  <c r="C20" i="12"/>
  <c r="D13" i="19" s="1"/>
  <c r="B20" i="12"/>
  <c r="E20" i="12"/>
  <c r="D20" i="12"/>
  <c r="D33" i="19" l="1"/>
  <c r="D36" i="19" s="1"/>
  <c r="C31" i="15" s="1"/>
  <c r="C45" i="15" s="1"/>
  <c r="D16" i="19"/>
  <c r="D23" i="12"/>
  <c r="L70" i="12"/>
  <c r="C43" i="12"/>
  <c r="L42" i="12"/>
  <c r="G43" i="12"/>
  <c r="J20" i="12"/>
  <c r="L20" i="12" s="1"/>
  <c r="E23" i="12" l="1"/>
  <c r="C7" i="15"/>
  <c r="C21" i="15" s="1"/>
  <c r="I43" i="12"/>
  <c r="C6" i="34"/>
  <c r="B6" i="34"/>
  <c r="F6" i="34"/>
  <c r="D6" i="34"/>
  <c r="G6" i="34"/>
  <c r="J6" i="34"/>
  <c r="J13" i="34"/>
  <c r="D13" i="34"/>
  <c r="C13" i="34"/>
  <c r="B13" i="34"/>
  <c r="J229" i="1"/>
  <c r="C7" i="14"/>
  <c r="K14" i="14"/>
  <c r="I14" i="14"/>
  <c r="J14" i="14"/>
  <c r="J7" i="14"/>
  <c r="G7" i="14"/>
  <c r="F7" i="14"/>
  <c r="D7" i="14"/>
  <c r="C16" i="11"/>
  <c r="J154" i="1"/>
  <c r="J147" i="1"/>
  <c r="I154" i="1"/>
  <c r="D19" i="19" l="1"/>
  <c r="C23" i="15" s="1"/>
  <c r="C52" i="19"/>
  <c r="C12" i="19"/>
  <c r="C32" i="19"/>
  <c r="H6" i="34"/>
  <c r="H7" i="34" s="1"/>
  <c r="I13" i="34"/>
  <c r="K13" i="34"/>
  <c r="H7" i="14"/>
  <c r="K7" i="14" s="1"/>
  <c r="I147" i="1"/>
  <c r="K6" i="34" l="1"/>
  <c r="D9" i="11"/>
  <c r="C9" i="11"/>
  <c r="B9" i="11"/>
  <c r="E9" i="11"/>
  <c r="H9" i="11"/>
  <c r="G9" i="11"/>
  <c r="B8" i="11"/>
  <c r="E30" i="7" l="1"/>
  <c r="E14" i="19" s="1"/>
  <c r="H14" i="19" s="1"/>
  <c r="D30" i="7"/>
  <c r="E13" i="19" s="1"/>
  <c r="C62" i="21" l="1"/>
  <c r="C61" i="21"/>
  <c r="C60" i="21"/>
  <c r="C59" i="21"/>
  <c r="C78" i="21"/>
  <c r="C76" i="21"/>
  <c r="C110" i="21"/>
  <c r="C108" i="21"/>
  <c r="C102" i="21"/>
  <c r="C100" i="21"/>
  <c r="C99" i="21"/>
  <c r="C94" i="21"/>
  <c r="C93" i="21"/>
  <c r="C92" i="21"/>
  <c r="C91" i="21"/>
  <c r="C51" i="21"/>
  <c r="C86" i="21"/>
  <c r="C84" i="21"/>
  <c r="C50" i="21"/>
  <c r="C48" i="21"/>
  <c r="C46" i="21"/>
  <c r="C47" i="21"/>
  <c r="C45" i="21"/>
  <c r="E7" i="21" l="1"/>
  <c r="E8" i="21"/>
  <c r="E9" i="21"/>
  <c r="E10" i="21"/>
  <c r="E11" i="21"/>
  <c r="E12" i="21"/>
  <c r="E6" i="21"/>
  <c r="E13" i="21"/>
  <c r="D13" i="21"/>
  <c r="C11" i="21" l="1"/>
  <c r="D11" i="21"/>
  <c r="D12" i="21"/>
  <c r="D8" i="21"/>
  <c r="D9" i="21"/>
  <c r="D10" i="21"/>
  <c r="D6" i="21"/>
  <c r="C13" i="21"/>
  <c r="C6" i="21"/>
  <c r="C7" i="21"/>
  <c r="C8" i="21"/>
  <c r="C9" i="21"/>
  <c r="C10" i="21"/>
  <c r="C12" i="21"/>
  <c r="I229" i="1"/>
  <c r="A233" i="1" s="1"/>
  <c r="C85" i="21"/>
  <c r="C109" i="21"/>
  <c r="A760" i="6"/>
  <c r="W65" i="6"/>
  <c r="W64" i="6"/>
  <c r="W63" i="6"/>
  <c r="M63" i="6"/>
  <c r="W62" i="6"/>
  <c r="W61" i="6"/>
  <c r="W60" i="6"/>
  <c r="W59" i="6"/>
  <c r="M818" i="6"/>
  <c r="M812" i="6"/>
  <c r="M811" i="6"/>
  <c r="L818" i="6"/>
  <c r="L812" i="6"/>
  <c r="L811" i="6"/>
  <c r="C107" i="21" s="1"/>
  <c r="M799" i="6"/>
  <c r="M797" i="6"/>
  <c r="M795" i="6"/>
  <c r="M793" i="6"/>
  <c r="M791" i="6"/>
  <c r="M790" i="6"/>
  <c r="M789" i="6" s="1"/>
  <c r="M787" i="6"/>
  <c r="M786" i="6"/>
  <c r="M779" i="6"/>
  <c r="L799" i="6"/>
  <c r="L797" i="6"/>
  <c r="L795" i="6"/>
  <c r="L793" i="6"/>
  <c r="L791" i="6"/>
  <c r="L790" i="6"/>
  <c r="L789" i="6" s="1"/>
  <c r="L787" i="6"/>
  <c r="L786" i="6"/>
  <c r="L779" i="6"/>
  <c r="D7" i="21" s="1"/>
  <c r="M231" i="6"/>
  <c r="L231" i="6"/>
  <c r="M183" i="6"/>
  <c r="L183" i="6"/>
  <c r="M143" i="6"/>
  <c r="L143" i="6"/>
  <c r="C75" i="21" s="1"/>
  <c r="M130" i="6"/>
  <c r="M127" i="6"/>
  <c r="M126" i="6"/>
  <c r="M124" i="6"/>
  <c r="L124" i="6"/>
  <c r="M72" i="6"/>
  <c r="M69" i="6"/>
  <c r="BQ12" i="25"/>
  <c r="BQ13" i="25"/>
  <c r="BQ14" i="25"/>
  <c r="BQ15" i="25"/>
  <c r="BQ17" i="25"/>
  <c r="BQ18" i="25"/>
  <c r="BQ20" i="25"/>
  <c r="BQ21" i="25"/>
  <c r="BQ22" i="25"/>
  <c r="BQ23" i="25"/>
  <c r="BQ24" i="25"/>
  <c r="BQ25" i="25"/>
  <c r="BQ5" i="25"/>
  <c r="BQ8" i="25"/>
  <c r="BQ4" i="25"/>
  <c r="BF14" i="25"/>
  <c r="BF15" i="25"/>
  <c r="BF16" i="25"/>
  <c r="BF17" i="25"/>
  <c r="BF18" i="25"/>
  <c r="BF19" i="25"/>
  <c r="BF20" i="25"/>
  <c r="BF22" i="25"/>
  <c r="BF24" i="25"/>
  <c r="BF25" i="25"/>
  <c r="BF12" i="25"/>
  <c r="BF13" i="25"/>
  <c r="BF5" i="25"/>
  <c r="BF6" i="25"/>
  <c r="BF7" i="25"/>
  <c r="BF8" i="25"/>
  <c r="BF9" i="25"/>
  <c r="BE12" i="25"/>
  <c r="BE13" i="25"/>
  <c r="BE14" i="25"/>
  <c r="BE15" i="25"/>
  <c r="BE16" i="25"/>
  <c r="BE17" i="25"/>
  <c r="BE18" i="25"/>
  <c r="BE19" i="25"/>
  <c r="BE20" i="25"/>
  <c r="BE22" i="25"/>
  <c r="BE23" i="25"/>
  <c r="BE24" i="25"/>
  <c r="BE25" i="25"/>
  <c r="BE8" i="25"/>
  <c r="BE9" i="25"/>
  <c r="BE4" i="25"/>
  <c r="AT12" i="25"/>
  <c r="AT13" i="25"/>
  <c r="AT14" i="25"/>
  <c r="AT15" i="25"/>
  <c r="AT16" i="25"/>
  <c r="AT17" i="25"/>
  <c r="AT18" i="25"/>
  <c r="AT19" i="25"/>
  <c r="AT20" i="25"/>
  <c r="AT24" i="25"/>
  <c r="AT25" i="25"/>
  <c r="AT6" i="25"/>
  <c r="AT7" i="25"/>
  <c r="AT8" i="25"/>
  <c r="AT9" i="25"/>
  <c r="AS12" i="25"/>
  <c r="AS13" i="25"/>
  <c r="AS14" i="25"/>
  <c r="AS15" i="25"/>
  <c r="AS16" i="25"/>
  <c r="AS17" i="25"/>
  <c r="AS18" i="25"/>
  <c r="AS19" i="25"/>
  <c r="AS21" i="25"/>
  <c r="AS22" i="25"/>
  <c r="AS23" i="25"/>
  <c r="AS24" i="25"/>
  <c r="AS25" i="25"/>
  <c r="AS8" i="25"/>
  <c r="AS9" i="25"/>
  <c r="AR12" i="25"/>
  <c r="AR13" i="25"/>
  <c r="AR14" i="25"/>
  <c r="AR15" i="25"/>
  <c r="AR16" i="25"/>
  <c r="AR17" i="25"/>
  <c r="AR18" i="25"/>
  <c r="AR19" i="25"/>
  <c r="AR20" i="25"/>
  <c r="AR21" i="25"/>
  <c r="AR22" i="25"/>
  <c r="AR23" i="25"/>
  <c r="AR24" i="25"/>
  <c r="AR25" i="25"/>
  <c r="AR5" i="25"/>
  <c r="AR6" i="25"/>
  <c r="AR7" i="25"/>
  <c r="AR8" i="25"/>
  <c r="AR9" i="25"/>
  <c r="AR10" i="25"/>
  <c r="AR4" i="25"/>
  <c r="AL12" i="25"/>
  <c r="AL13" i="25"/>
  <c r="AL14" i="25"/>
  <c r="AL15" i="25"/>
  <c r="AL16" i="25"/>
  <c r="AL17" i="25"/>
  <c r="AL18" i="25"/>
  <c r="AL19" i="25"/>
  <c r="AL20" i="25"/>
  <c r="AL21" i="25"/>
  <c r="AL22" i="25"/>
  <c r="AL23" i="25"/>
  <c r="AL24" i="25"/>
  <c r="AL25" i="25"/>
  <c r="AL5" i="25"/>
  <c r="AL8" i="25"/>
  <c r="AL9" i="25"/>
  <c r="AF5" i="25"/>
  <c r="AF6" i="25"/>
  <c r="AF8" i="25"/>
  <c r="AF9" i="25"/>
  <c r="AF12" i="25"/>
  <c r="AF14" i="25"/>
  <c r="AF15" i="25"/>
  <c r="AF16" i="25"/>
  <c r="AF17" i="25"/>
  <c r="AF18" i="25"/>
  <c r="AF20" i="25"/>
  <c r="AF21" i="25"/>
  <c r="AF23" i="25"/>
  <c r="AF24" i="25"/>
  <c r="AF25" i="25"/>
  <c r="AF4" i="25"/>
  <c r="AA14" i="25"/>
  <c r="AA15" i="25"/>
  <c r="AA16" i="25"/>
  <c r="AA17" i="25"/>
  <c r="AA18" i="25"/>
  <c r="AA20" i="25"/>
  <c r="AA21" i="25"/>
  <c r="AA22" i="25"/>
  <c r="AA23" i="25"/>
  <c r="AA24" i="25"/>
  <c r="AA25" i="25"/>
  <c r="AA12" i="25"/>
  <c r="AA13" i="25"/>
  <c r="AA5" i="25"/>
  <c r="AA7" i="25"/>
  <c r="AA8" i="25"/>
  <c r="AA9" i="25"/>
  <c r="AA4" i="25"/>
  <c r="U14" i="25"/>
  <c r="U15" i="25"/>
  <c r="U16" i="25"/>
  <c r="U17" i="25"/>
  <c r="U18" i="25"/>
  <c r="U19" i="25"/>
  <c r="U20" i="25"/>
  <c r="U21" i="25"/>
  <c r="U22" i="25"/>
  <c r="U23" i="25"/>
  <c r="U24" i="25"/>
  <c r="U25" i="25"/>
  <c r="U12" i="25"/>
  <c r="U13" i="25"/>
  <c r="U5" i="25"/>
  <c r="U6" i="25"/>
  <c r="U7" i="25"/>
  <c r="U8" i="25"/>
  <c r="U9" i="25"/>
  <c r="U4" i="25"/>
  <c r="T14" i="25"/>
  <c r="T15" i="25"/>
  <c r="T16" i="25"/>
  <c r="T17" i="25"/>
  <c r="T18" i="25"/>
  <c r="T20" i="25"/>
  <c r="T21" i="25"/>
  <c r="T22" i="25"/>
  <c r="T23" i="25"/>
  <c r="T24" i="25"/>
  <c r="T25" i="25"/>
  <c r="T12" i="25"/>
  <c r="T13" i="25"/>
  <c r="T5" i="25"/>
  <c r="T8" i="25"/>
  <c r="T9" i="25"/>
  <c r="T4" i="25"/>
  <c r="N14" i="25"/>
  <c r="N15" i="25"/>
  <c r="N16" i="25"/>
  <c r="N17" i="25"/>
  <c r="N18" i="25"/>
  <c r="N19" i="25"/>
  <c r="N20" i="25"/>
  <c r="N21" i="25"/>
  <c r="N22" i="25"/>
  <c r="N23" i="25"/>
  <c r="N24" i="25"/>
  <c r="N25" i="25"/>
  <c r="N12" i="25"/>
  <c r="N5" i="25"/>
  <c r="N8" i="25"/>
  <c r="N9" i="25"/>
  <c r="N4" i="25"/>
  <c r="M12" i="25"/>
  <c r="M14" i="25"/>
  <c r="M15" i="25"/>
  <c r="M16" i="25"/>
  <c r="M17" i="25"/>
  <c r="M18" i="25"/>
  <c r="M19" i="25"/>
  <c r="M20" i="25"/>
  <c r="M21" i="25"/>
  <c r="M22" i="25"/>
  <c r="M23" i="25"/>
  <c r="M24" i="25"/>
  <c r="M25" i="25"/>
  <c r="M5" i="25"/>
  <c r="M8" i="25"/>
  <c r="M9" i="25"/>
  <c r="M4" i="25"/>
  <c r="G16" i="25"/>
  <c r="G17" i="25"/>
  <c r="G18" i="25"/>
  <c r="G19" i="25"/>
  <c r="G20" i="25"/>
  <c r="G21" i="25"/>
  <c r="G22" i="25"/>
  <c r="G23" i="25"/>
  <c r="G24" i="25"/>
  <c r="G25" i="25"/>
  <c r="G12" i="25"/>
  <c r="G14" i="25"/>
  <c r="G15" i="25"/>
  <c r="G5" i="25"/>
  <c r="G8" i="25"/>
  <c r="G9" i="25"/>
  <c r="G4" i="25"/>
  <c r="F14" i="25"/>
  <c r="F15" i="25"/>
  <c r="F16" i="25"/>
  <c r="F17" i="25"/>
  <c r="F18" i="25"/>
  <c r="F19" i="25"/>
  <c r="F20" i="25"/>
  <c r="F21" i="25"/>
  <c r="F22" i="25"/>
  <c r="F23" i="25"/>
  <c r="F24" i="25"/>
  <c r="F25" i="25"/>
  <c r="F12" i="25"/>
  <c r="F5" i="25"/>
  <c r="F8" i="25"/>
  <c r="F9" i="25"/>
  <c r="F4" i="25"/>
  <c r="AC15" i="27"/>
  <c r="AC16" i="27"/>
  <c r="AC17" i="27"/>
  <c r="AC18" i="27"/>
  <c r="AC19" i="27"/>
  <c r="AC20" i="27"/>
  <c r="AC21" i="27"/>
  <c r="AC22" i="27"/>
  <c r="AC23" i="27"/>
  <c r="AC24" i="27"/>
  <c r="AC25" i="27"/>
  <c r="AC26" i="27"/>
  <c r="AC27" i="27"/>
  <c r="AC5" i="27"/>
  <c r="AC6" i="27"/>
  <c r="AC7" i="27"/>
  <c r="AC8" i="27"/>
  <c r="AC9" i="27"/>
  <c r="AC11" i="27"/>
  <c r="AC12" i="27"/>
  <c r="AC13" i="27"/>
  <c r="AC14" i="27"/>
  <c r="AC4" i="27"/>
  <c r="D19" i="27"/>
  <c r="D20" i="27"/>
  <c r="D21" i="27"/>
  <c r="D22" i="27"/>
  <c r="D23" i="27"/>
  <c r="D24" i="27"/>
  <c r="D25" i="27"/>
  <c r="D26" i="27"/>
  <c r="D27" i="27"/>
  <c r="D18" i="27"/>
  <c r="D5" i="27"/>
  <c r="D6" i="27"/>
  <c r="D7" i="27"/>
  <c r="D9" i="27"/>
  <c r="D10" i="27"/>
  <c r="D11" i="27"/>
  <c r="D12" i="27"/>
  <c r="D13" i="27"/>
  <c r="D14" i="27"/>
  <c r="D16" i="27"/>
  <c r="D4" i="27"/>
  <c r="BQ16" i="25"/>
  <c r="BF11" i="25"/>
  <c r="BE5" i="25"/>
  <c r="AT4" i="25"/>
  <c r="AT5" i="25"/>
  <c r="AS11" i="25"/>
  <c r="AL11" i="25"/>
  <c r="AL6" i="25"/>
  <c r="AF19" i="25"/>
  <c r="AF13" i="25"/>
  <c r="AA19" i="25"/>
  <c r="T19" i="25"/>
  <c r="T6" i="25"/>
  <c r="N11" i="25"/>
  <c r="N6" i="25"/>
  <c r="N13" i="25"/>
  <c r="M13" i="25"/>
  <c r="G11" i="25"/>
  <c r="G6" i="25"/>
  <c r="G10" i="25"/>
  <c r="F83" i="7" l="1"/>
  <c r="K45" i="7"/>
  <c r="K8" i="7"/>
  <c r="M83" i="7"/>
  <c r="F8" i="7"/>
  <c r="M8" i="7"/>
  <c r="K83" i="7"/>
  <c r="F45" i="7"/>
  <c r="M45" i="7"/>
  <c r="G84" i="7"/>
  <c r="G104" i="7" s="1"/>
  <c r="E50" i="19" s="1"/>
  <c r="G9" i="7"/>
  <c r="G46" i="7"/>
  <c r="G65" i="7" s="1"/>
  <c r="E30" i="19" s="1"/>
  <c r="K87" i="7"/>
  <c r="F49" i="7"/>
  <c r="F12" i="7"/>
  <c r="M12" i="7"/>
  <c r="M49" i="7"/>
  <c r="M87" i="7"/>
  <c r="F87" i="7"/>
  <c r="K49" i="7"/>
  <c r="K12" i="7"/>
  <c r="C109" i="7"/>
  <c r="E55" i="19" s="1"/>
  <c r="D70" i="15" s="1"/>
  <c r="C70" i="7"/>
  <c r="E35" i="19" s="1"/>
  <c r="D46" i="15" s="1"/>
  <c r="M47" i="7"/>
  <c r="M10" i="7"/>
  <c r="K10" i="7"/>
  <c r="F85" i="7"/>
  <c r="K47" i="7"/>
  <c r="F10" i="7"/>
  <c r="M85" i="7"/>
  <c r="K85" i="7"/>
  <c r="F47" i="7"/>
  <c r="M97" i="7"/>
  <c r="B97" i="7"/>
  <c r="B104" i="7" s="1"/>
  <c r="E46" i="19" s="1"/>
  <c r="K97" i="7"/>
  <c r="K22" i="7"/>
  <c r="M59" i="7"/>
  <c r="B59" i="7"/>
  <c r="B65" i="7" s="1"/>
  <c r="E26" i="19" s="1"/>
  <c r="M22" i="7"/>
  <c r="B22" i="7"/>
  <c r="K59" i="7"/>
  <c r="B109" i="7"/>
  <c r="B70" i="7"/>
  <c r="M84" i="7"/>
  <c r="D84" i="7"/>
  <c r="K46" i="7"/>
  <c r="K84" i="7"/>
  <c r="D9" i="7"/>
  <c r="K9" i="7"/>
  <c r="M46" i="7"/>
  <c r="D46" i="7"/>
  <c r="M9" i="7"/>
  <c r="F60" i="7"/>
  <c r="F23" i="7"/>
  <c r="K23" i="7"/>
  <c r="K98" i="7"/>
  <c r="K60" i="7"/>
  <c r="F98" i="7"/>
  <c r="M44" i="7"/>
  <c r="D44" i="7"/>
  <c r="M7" i="7"/>
  <c r="D7" i="7"/>
  <c r="K44" i="7"/>
  <c r="K7" i="7"/>
  <c r="K82" i="7"/>
  <c r="M82" i="7"/>
  <c r="D82" i="7"/>
  <c r="B30" i="7"/>
  <c r="E12" i="19" s="1"/>
  <c r="K30" i="7"/>
  <c r="AC10" i="27"/>
  <c r="D16" i="11"/>
  <c r="C101" i="21"/>
  <c r="C30" i="7"/>
  <c r="E15" i="19" s="1"/>
  <c r="D22" i="15" s="1"/>
  <c r="C83" i="21"/>
  <c r="C67" i="21"/>
  <c r="AF22" i="25"/>
  <c r="AA6" i="25"/>
  <c r="AS5" i="25"/>
  <c r="T7" i="25"/>
  <c r="AF7" i="25"/>
  <c r="AS10" i="25"/>
  <c r="AS6" i="25"/>
  <c r="AS20" i="25"/>
  <c r="BF4" i="25"/>
  <c r="BQ10" i="25"/>
  <c r="AT11" i="25"/>
  <c r="BQ6" i="25"/>
  <c r="AL7" i="25"/>
  <c r="BQ7" i="25"/>
  <c r="AT10" i="25"/>
  <c r="AF10" i="25"/>
  <c r="BE11" i="25"/>
  <c r="BF10" i="25"/>
  <c r="BF21" i="25"/>
  <c r="BE21" i="25"/>
  <c r="BF23" i="25"/>
  <c r="BE7" i="25"/>
  <c r="AA10" i="25"/>
  <c r="AT21" i="25"/>
  <c r="BE10" i="25"/>
  <c r="A78" i="6"/>
  <c r="AL4" i="25"/>
  <c r="M10" i="25"/>
  <c r="AS4" i="25"/>
  <c r="BQ11" i="25"/>
  <c r="M7" i="25"/>
  <c r="G7" i="25"/>
  <c r="T10" i="25"/>
  <c r="AL10" i="25"/>
  <c r="AF11" i="25"/>
  <c r="AS7" i="25"/>
  <c r="M6" i="25"/>
  <c r="AR11" i="25"/>
  <c r="U10" i="25"/>
  <c r="AT23" i="25"/>
  <c r="AT22" i="25"/>
  <c r="BE6" i="25"/>
  <c r="A347" i="6"/>
  <c r="BQ19" i="25"/>
  <c r="U11" i="25"/>
  <c r="T11" i="25"/>
  <c r="N7" i="25"/>
  <c r="G13" i="25"/>
  <c r="AA11" i="25"/>
  <c r="N10" i="25"/>
  <c r="M11" i="25"/>
  <c r="F11" i="25"/>
  <c r="F7" i="25"/>
  <c r="F104" i="7" l="1"/>
  <c r="E49" i="19" s="1"/>
  <c r="D104" i="7"/>
  <c r="E47" i="19" s="1"/>
  <c r="E32" i="19"/>
  <c r="D73" i="7"/>
  <c r="J70" i="7"/>
  <c r="L70" i="7" s="1"/>
  <c r="H12" i="7"/>
  <c r="L12" i="7" s="1"/>
  <c r="H49" i="7"/>
  <c r="H87" i="7"/>
  <c r="E52" i="19"/>
  <c r="D112" i="7"/>
  <c r="H97" i="7"/>
  <c r="H22" i="7"/>
  <c r="L22" i="7" s="1"/>
  <c r="H59" i="7"/>
  <c r="F65" i="7"/>
  <c r="E29" i="19" s="1"/>
  <c r="H85" i="7"/>
  <c r="H47" i="7"/>
  <c r="H10" i="7"/>
  <c r="L10" i="7" s="1"/>
  <c r="L49" i="7"/>
  <c r="H83" i="7"/>
  <c r="H8" i="7"/>
  <c r="L8" i="7" s="1"/>
  <c r="H45" i="7"/>
  <c r="H44" i="7"/>
  <c r="H7" i="7"/>
  <c r="L7" i="7" s="1"/>
  <c r="H82" i="7"/>
  <c r="H98" i="7"/>
  <c r="H60" i="7"/>
  <c r="H23" i="7"/>
  <c r="L23" i="7" s="1"/>
  <c r="D65" i="7"/>
  <c r="E27" i="19" s="1"/>
  <c r="H9" i="7"/>
  <c r="L9" i="7" s="1"/>
  <c r="H84" i="7"/>
  <c r="H46" i="7"/>
  <c r="E16" i="19"/>
  <c r="D7" i="15" s="1"/>
  <c r="D21" i="15" s="1"/>
  <c r="H12" i="19"/>
  <c r="C53" i="19"/>
  <c r="C13" i="19"/>
  <c r="C33" i="19"/>
  <c r="D33" i="7"/>
  <c r="E33" i="7" s="1"/>
  <c r="E19" i="19" s="1"/>
  <c r="J30" i="7"/>
  <c r="L30" i="7" s="1"/>
  <c r="F13" i="25"/>
  <c r="A58" i="6"/>
  <c r="F10" i="25"/>
  <c r="A183" i="6"/>
  <c r="F6" i="25"/>
  <c r="A145" i="6"/>
  <c r="X34" i="31"/>
  <c r="X36" i="31"/>
  <c r="X37" i="31"/>
  <c r="X38" i="31"/>
  <c r="X39" i="31"/>
  <c r="AC37" i="27"/>
  <c r="AC38" i="27"/>
  <c r="AC39" i="27"/>
  <c r="AC34" i="27"/>
  <c r="AC36" i="27"/>
  <c r="D34" i="27"/>
  <c r="D36" i="27"/>
  <c r="D37" i="27"/>
  <c r="D38" i="27"/>
  <c r="D39" i="27"/>
  <c r="BU33" i="25"/>
  <c r="AR2" i="29"/>
  <c r="AR5" i="29"/>
  <c r="AR6" i="29"/>
  <c r="AR7" i="29"/>
  <c r="AR8" i="29"/>
  <c r="AR9" i="29"/>
  <c r="AR10" i="29"/>
  <c r="AR12" i="29"/>
  <c r="AR13" i="29"/>
  <c r="AR14" i="29"/>
  <c r="AR15" i="29"/>
  <c r="AR16" i="29"/>
  <c r="AR17" i="29"/>
  <c r="AR18" i="29"/>
  <c r="AR19" i="29"/>
  <c r="AR20" i="29"/>
  <c r="AR21" i="29"/>
  <c r="AR22" i="29"/>
  <c r="AR23" i="29"/>
  <c r="AR24" i="29"/>
  <c r="AR25" i="29"/>
  <c r="AR26" i="29"/>
  <c r="AR27" i="29"/>
  <c r="S12" i="29"/>
  <c r="S13" i="29"/>
  <c r="S14" i="29"/>
  <c r="S11" i="29"/>
  <c r="G94" i="29"/>
  <c r="G95" i="29" s="1"/>
  <c r="H95" i="29"/>
  <c r="F95" i="29"/>
  <c r="E95" i="29"/>
  <c r="G52" i="29"/>
  <c r="AF2" i="29"/>
  <c r="AT2" i="29" s="1"/>
  <c r="B18" i="2"/>
  <c r="D5" i="29"/>
  <c r="D6" i="29"/>
  <c r="D7" i="29"/>
  <c r="D8" i="29"/>
  <c r="D9" i="29"/>
  <c r="D10" i="29"/>
  <c r="D11" i="29"/>
  <c r="D12" i="29"/>
  <c r="D13" i="29"/>
  <c r="D14" i="29"/>
  <c r="D15" i="29"/>
  <c r="D16" i="29"/>
  <c r="D17" i="29"/>
  <c r="D18" i="29"/>
  <c r="D19" i="29"/>
  <c r="D20" i="29"/>
  <c r="D21" i="29"/>
  <c r="D22" i="29"/>
  <c r="D23" i="29"/>
  <c r="D24" i="29"/>
  <c r="D25" i="29"/>
  <c r="D26" i="29"/>
  <c r="D27" i="29"/>
  <c r="D4" i="29"/>
  <c r="I8" i="32"/>
  <c r="H107" i="32"/>
  <c r="G107" i="32"/>
  <c r="F107" i="32"/>
  <c r="E107" i="32"/>
  <c r="D107" i="32"/>
  <c r="D106" i="32"/>
  <c r="H101" i="32"/>
  <c r="G101" i="32"/>
  <c r="F101" i="32"/>
  <c r="E101" i="32"/>
  <c r="D100" i="32"/>
  <c r="D101" i="32" s="1"/>
  <c r="H95" i="32"/>
  <c r="G95" i="32"/>
  <c r="F95" i="32"/>
  <c r="G94" i="32"/>
  <c r="E94" i="32"/>
  <c r="E95" i="32" s="1"/>
  <c r="H89" i="32"/>
  <c r="F89" i="32"/>
  <c r="G88" i="32"/>
  <c r="G89" i="32" s="1"/>
  <c r="E88" i="32"/>
  <c r="D88" i="32" s="1"/>
  <c r="D89" i="32" s="1"/>
  <c r="H83" i="32"/>
  <c r="G83" i="32"/>
  <c r="F83" i="32"/>
  <c r="G82" i="32"/>
  <c r="E82" i="32"/>
  <c r="E83" i="32" s="1"/>
  <c r="H77" i="32"/>
  <c r="G77" i="32"/>
  <c r="F77" i="32"/>
  <c r="G76" i="32"/>
  <c r="E76" i="32"/>
  <c r="E77" i="32" s="1"/>
  <c r="H71" i="32"/>
  <c r="F71" i="32"/>
  <c r="G70" i="32"/>
  <c r="G71" i="32" s="1"/>
  <c r="E70" i="32"/>
  <c r="D70" i="32" s="1"/>
  <c r="D71" i="32" s="1"/>
  <c r="H65" i="32"/>
  <c r="G65" i="32"/>
  <c r="F65" i="32"/>
  <c r="G64" i="32"/>
  <c r="E64" i="32"/>
  <c r="E65" i="32" s="1"/>
  <c r="H59" i="32"/>
  <c r="G59" i="32"/>
  <c r="F59" i="32"/>
  <c r="G58" i="32"/>
  <c r="E58" i="32"/>
  <c r="E59" i="32" s="1"/>
  <c r="H53" i="32"/>
  <c r="G53" i="32"/>
  <c r="F53" i="32"/>
  <c r="E52" i="32"/>
  <c r="D52" i="32" s="1"/>
  <c r="D53" i="32" s="1"/>
  <c r="BC41" i="32"/>
  <c r="BB41" i="32"/>
  <c r="BC40" i="32"/>
  <c r="BB40" i="32"/>
  <c r="BC39" i="32"/>
  <c r="AW39" i="32"/>
  <c r="AR39" i="32"/>
  <c r="AM39" i="32"/>
  <c r="AH39" i="32"/>
  <c r="AC39" i="32"/>
  <c r="X39" i="32"/>
  <c r="S39" i="32"/>
  <c r="N39" i="32"/>
  <c r="BC38" i="32"/>
  <c r="AW38" i="32"/>
  <c r="AR38" i="32"/>
  <c r="AM38" i="32"/>
  <c r="AH38" i="32"/>
  <c r="AC38" i="32"/>
  <c r="X38" i="32"/>
  <c r="S38" i="32"/>
  <c r="N38" i="32"/>
  <c r="I38" i="32"/>
  <c r="BC37" i="32"/>
  <c r="AW37" i="32"/>
  <c r="AR37" i="32"/>
  <c r="AM37" i="32"/>
  <c r="AH37" i="32"/>
  <c r="AC37" i="32"/>
  <c r="X37" i="32"/>
  <c r="S37" i="32"/>
  <c r="N37" i="32"/>
  <c r="I37" i="32"/>
  <c r="BC36" i="32"/>
  <c r="AW36" i="32"/>
  <c r="AR36" i="32"/>
  <c r="AM36" i="32"/>
  <c r="AH36" i="32"/>
  <c r="AC36" i="32"/>
  <c r="X36" i="32"/>
  <c r="S36" i="32"/>
  <c r="N36" i="32"/>
  <c r="I36" i="32"/>
  <c r="D36" i="32"/>
  <c r="BC35" i="32"/>
  <c r="BB35" i="32"/>
  <c r="BC34" i="32"/>
  <c r="AW34" i="32"/>
  <c r="AR34" i="32"/>
  <c r="AM34" i="32"/>
  <c r="AH34" i="32"/>
  <c r="AC34" i="32"/>
  <c r="X34" i="32"/>
  <c r="S34" i="32"/>
  <c r="N34" i="32"/>
  <c r="I34" i="32"/>
  <c r="D34" i="32"/>
  <c r="BB33" i="32"/>
  <c r="BB43" i="32" s="1"/>
  <c r="BB32" i="32"/>
  <c r="BC32" i="32" s="1"/>
  <c r="BC31" i="32"/>
  <c r="BB31" i="32"/>
  <c r="AW27" i="32"/>
  <c r="AR27" i="32"/>
  <c r="AM27" i="32"/>
  <c r="AH27" i="32"/>
  <c r="AC27" i="32"/>
  <c r="X27" i="32"/>
  <c r="S27" i="32"/>
  <c r="N27" i="32"/>
  <c r="I27" i="32"/>
  <c r="D27" i="32"/>
  <c r="AW26" i="32"/>
  <c r="AR26" i="32"/>
  <c r="AM26" i="32"/>
  <c r="AH26" i="32"/>
  <c r="AC26" i="32"/>
  <c r="X26" i="32"/>
  <c r="S26" i="32"/>
  <c r="N26" i="32"/>
  <c r="I26" i="32"/>
  <c r="D26" i="32"/>
  <c r="AW25" i="32"/>
  <c r="AR25" i="32"/>
  <c r="AM25" i="32"/>
  <c r="AH25" i="32"/>
  <c r="AC25" i="32"/>
  <c r="X25" i="32"/>
  <c r="S25" i="32"/>
  <c r="N25" i="32"/>
  <c r="I25" i="32"/>
  <c r="D25" i="32"/>
  <c r="AW24" i="32"/>
  <c r="AR24" i="32"/>
  <c r="AM24" i="32"/>
  <c r="AH24" i="32"/>
  <c r="AC24" i="32"/>
  <c r="X24" i="32"/>
  <c r="S24" i="32"/>
  <c r="N24" i="32"/>
  <c r="I24" i="32"/>
  <c r="D24" i="32"/>
  <c r="AW23" i="32"/>
  <c r="AR23" i="32"/>
  <c r="AM23" i="32"/>
  <c r="AH23" i="32"/>
  <c r="AC23" i="32"/>
  <c r="X23" i="32"/>
  <c r="S23" i="32"/>
  <c r="N23" i="32"/>
  <c r="I23" i="32"/>
  <c r="D23" i="32"/>
  <c r="AW22" i="32"/>
  <c r="AR22" i="32"/>
  <c r="AM22" i="32"/>
  <c r="AH22" i="32"/>
  <c r="AC22" i="32"/>
  <c r="X22" i="32"/>
  <c r="S22" i="32"/>
  <c r="N22" i="32"/>
  <c r="I22" i="32"/>
  <c r="D22" i="32"/>
  <c r="AW21" i="32"/>
  <c r="AR21" i="32"/>
  <c r="AM21" i="32"/>
  <c r="AH21" i="32"/>
  <c r="AC21" i="32"/>
  <c r="X21" i="32"/>
  <c r="S21" i="32"/>
  <c r="N21" i="32"/>
  <c r="I21" i="32"/>
  <c r="D21" i="32"/>
  <c r="AW20" i="32"/>
  <c r="AR20" i="32"/>
  <c r="AM20" i="32"/>
  <c r="AH20" i="32"/>
  <c r="AC20" i="32"/>
  <c r="X20" i="32"/>
  <c r="S20" i="32"/>
  <c r="N20" i="32"/>
  <c r="I20" i="32"/>
  <c r="D20" i="32"/>
  <c r="AW19" i="32"/>
  <c r="AR19" i="32"/>
  <c r="AM19" i="32"/>
  <c r="AH19" i="32"/>
  <c r="AC19" i="32"/>
  <c r="X19" i="32"/>
  <c r="S19" i="32"/>
  <c r="N19" i="32"/>
  <c r="I19" i="32"/>
  <c r="D19" i="32"/>
  <c r="AW18" i="32"/>
  <c r="AR18" i="32"/>
  <c r="AM18" i="32"/>
  <c r="AH18" i="32"/>
  <c r="AC18" i="32"/>
  <c r="X18" i="32"/>
  <c r="S18" i="32"/>
  <c r="N18" i="32"/>
  <c r="I18" i="32"/>
  <c r="D18" i="32"/>
  <c r="AW17" i="32"/>
  <c r="AR17" i="32"/>
  <c r="AM17" i="32"/>
  <c r="AH17" i="32"/>
  <c r="AC17" i="32"/>
  <c r="X17" i="32"/>
  <c r="S17" i="32"/>
  <c r="N17" i="32"/>
  <c r="I17" i="32"/>
  <c r="D17" i="32"/>
  <c r="AW16" i="32"/>
  <c r="AR16" i="32"/>
  <c r="AM16" i="32"/>
  <c r="AH16" i="32"/>
  <c r="AC16" i="32"/>
  <c r="X16" i="32"/>
  <c r="S16" i="32"/>
  <c r="N16" i="32"/>
  <c r="I16" i="32"/>
  <c r="D16" i="32"/>
  <c r="AW15" i="32"/>
  <c r="AR15" i="32"/>
  <c r="AM15" i="32"/>
  <c r="AH15" i="32"/>
  <c r="AC15" i="32"/>
  <c r="X15" i="32"/>
  <c r="S15" i="32"/>
  <c r="N15" i="32"/>
  <c r="I15" i="32"/>
  <c r="D15" i="32"/>
  <c r="AW14" i="32"/>
  <c r="AR14" i="32"/>
  <c r="AM14" i="32"/>
  <c r="AH14" i="32"/>
  <c r="AC14" i="32"/>
  <c r="X14" i="32"/>
  <c r="S14" i="32"/>
  <c r="N14" i="32"/>
  <c r="I14" i="32"/>
  <c r="D14" i="32"/>
  <c r="AR13" i="32"/>
  <c r="AH13" i="32"/>
  <c r="AC13" i="32"/>
  <c r="X13" i="32"/>
  <c r="S13" i="32"/>
  <c r="N13" i="32"/>
  <c r="I13" i="32"/>
  <c r="D13" i="32"/>
  <c r="AR12" i="32"/>
  <c r="AH12" i="32"/>
  <c r="AC12" i="32"/>
  <c r="X12" i="32"/>
  <c r="S12" i="32"/>
  <c r="N12" i="32"/>
  <c r="I12" i="32"/>
  <c r="D12" i="32"/>
  <c r="AW11" i="32"/>
  <c r="AR11" i="32"/>
  <c r="AH11" i="32"/>
  <c r="AC11" i="32"/>
  <c r="X11" i="32"/>
  <c r="S11" i="32"/>
  <c r="N11" i="32"/>
  <c r="I11" i="32"/>
  <c r="D11" i="32"/>
  <c r="AW10" i="32"/>
  <c r="AR10" i="32"/>
  <c r="AM10" i="32"/>
  <c r="AH10" i="32"/>
  <c r="AC10" i="32"/>
  <c r="X10" i="32"/>
  <c r="S10" i="32"/>
  <c r="N10" i="32"/>
  <c r="I10" i="32"/>
  <c r="D10" i="32"/>
  <c r="AW9" i="32"/>
  <c r="AR9" i="32"/>
  <c r="AM9" i="32"/>
  <c r="AH9" i="32"/>
  <c r="AC9" i="32"/>
  <c r="X9" i="32"/>
  <c r="S9" i="32"/>
  <c r="N9" i="32"/>
  <c r="I9" i="32"/>
  <c r="D9" i="32"/>
  <c r="AW8" i="32"/>
  <c r="AR8" i="32"/>
  <c r="AM8" i="32"/>
  <c r="AH8" i="32"/>
  <c r="AC8" i="32"/>
  <c r="X8" i="32"/>
  <c r="S8" i="32"/>
  <c r="N8" i="32"/>
  <c r="D8" i="32"/>
  <c r="AW7" i="32"/>
  <c r="AR7" i="32"/>
  <c r="AM7" i="32"/>
  <c r="AH7" i="32"/>
  <c r="AC7" i="32"/>
  <c r="X7" i="32"/>
  <c r="S7" i="32"/>
  <c r="N7" i="32"/>
  <c r="I7" i="32"/>
  <c r="D7" i="32"/>
  <c r="AW6" i="32"/>
  <c r="AR6" i="32"/>
  <c r="AM6" i="32"/>
  <c r="AH6" i="32"/>
  <c r="AC6" i="32"/>
  <c r="X6" i="32"/>
  <c r="S6" i="32"/>
  <c r="N6" i="32"/>
  <c r="I6" i="32"/>
  <c r="D6" i="32"/>
  <c r="AW5" i="32"/>
  <c r="AV33" i="32" s="1"/>
  <c r="AW33" i="32" s="1"/>
  <c r="AR5" i="32"/>
  <c r="AQ33" i="32" s="1"/>
  <c r="AR33" i="32" s="1"/>
  <c r="AM5" i="32"/>
  <c r="AL33" i="32" s="1"/>
  <c r="AM33" i="32" s="1"/>
  <c r="AH5" i="32"/>
  <c r="AG33" i="32" s="1"/>
  <c r="AH33" i="32" s="1"/>
  <c r="AC5" i="32"/>
  <c r="AB33" i="32" s="1"/>
  <c r="AC33" i="32" s="1"/>
  <c r="X5" i="32"/>
  <c r="W33" i="32" s="1"/>
  <c r="X33" i="32" s="1"/>
  <c r="S5" i="32"/>
  <c r="R33" i="32" s="1"/>
  <c r="S33" i="32" s="1"/>
  <c r="N5" i="32"/>
  <c r="M33" i="32" s="1"/>
  <c r="N33" i="32" s="1"/>
  <c r="I5" i="32"/>
  <c r="H33" i="32" s="1"/>
  <c r="I33" i="32" s="1"/>
  <c r="D5" i="32"/>
  <c r="C33" i="32" s="1"/>
  <c r="D33" i="32" s="1"/>
  <c r="AW4" i="32"/>
  <c r="AV32" i="32" s="1"/>
  <c r="AR4" i="32"/>
  <c r="AQ32" i="32" s="1"/>
  <c r="AM4" i="32"/>
  <c r="AH4" i="32"/>
  <c r="AC4" i="32"/>
  <c r="X4" i="32"/>
  <c r="S4" i="32"/>
  <c r="N4" i="32"/>
  <c r="M32" i="32" s="1"/>
  <c r="I4" i="32"/>
  <c r="D4" i="32"/>
  <c r="BE2" i="32"/>
  <c r="AW2" i="32"/>
  <c r="F55" i="31"/>
  <c r="F73" i="31"/>
  <c r="F67" i="31"/>
  <c r="F68" i="31" s="1"/>
  <c r="F61" i="31"/>
  <c r="F62" i="31" s="1"/>
  <c r="F49" i="31"/>
  <c r="I50" i="27"/>
  <c r="G74" i="31"/>
  <c r="E74" i="31"/>
  <c r="F74" i="31"/>
  <c r="D73" i="31"/>
  <c r="D74" i="31" s="1"/>
  <c r="G68" i="31"/>
  <c r="E68" i="31"/>
  <c r="D67" i="31"/>
  <c r="D68" i="31" s="1"/>
  <c r="G62" i="31"/>
  <c r="E62" i="31"/>
  <c r="G56" i="31"/>
  <c r="E56" i="31"/>
  <c r="F56" i="31"/>
  <c r="D55" i="31"/>
  <c r="D56" i="31" s="1"/>
  <c r="G50" i="31"/>
  <c r="E50" i="31"/>
  <c r="F50" i="31"/>
  <c r="D49" i="31"/>
  <c r="D50" i="31" s="1"/>
  <c r="Z2" i="31"/>
  <c r="M40" i="31"/>
  <c r="N40" i="31" s="1"/>
  <c r="S39" i="31"/>
  <c r="N39" i="31"/>
  <c r="I39" i="31"/>
  <c r="D39" i="31"/>
  <c r="S38" i="31"/>
  <c r="N38" i="31"/>
  <c r="I38" i="31"/>
  <c r="D38" i="31"/>
  <c r="S37" i="31"/>
  <c r="N37" i="31"/>
  <c r="I37" i="31"/>
  <c r="D37" i="31"/>
  <c r="S36" i="31"/>
  <c r="N36" i="31"/>
  <c r="I36" i="31"/>
  <c r="D36" i="31"/>
  <c r="M35" i="31"/>
  <c r="N35" i="31" s="1"/>
  <c r="S34" i="31"/>
  <c r="N34" i="31"/>
  <c r="I34" i="31"/>
  <c r="D34" i="31"/>
  <c r="M33" i="31"/>
  <c r="N33" i="31" s="1"/>
  <c r="X27" i="31"/>
  <c r="S27" i="31"/>
  <c r="I27" i="31"/>
  <c r="D27" i="31"/>
  <c r="X26" i="31"/>
  <c r="S26" i="31"/>
  <c r="I26" i="31"/>
  <c r="D26" i="31"/>
  <c r="X25" i="31"/>
  <c r="S25" i="31"/>
  <c r="I25" i="31"/>
  <c r="D25" i="31"/>
  <c r="X24" i="31"/>
  <c r="S24" i="31"/>
  <c r="I24" i="31"/>
  <c r="D24" i="31"/>
  <c r="X23" i="31"/>
  <c r="S23" i="31"/>
  <c r="I23" i="31"/>
  <c r="D23" i="31"/>
  <c r="X22" i="31"/>
  <c r="S22" i="31"/>
  <c r="I22" i="31"/>
  <c r="D22" i="31"/>
  <c r="X21" i="31"/>
  <c r="S21" i="31"/>
  <c r="I21" i="31"/>
  <c r="D21" i="31"/>
  <c r="X20" i="31"/>
  <c r="S20" i="31"/>
  <c r="I20" i="31"/>
  <c r="D20" i="31"/>
  <c r="X19" i="31"/>
  <c r="S19" i="31"/>
  <c r="I19" i="31"/>
  <c r="D19" i="31"/>
  <c r="X18" i="31"/>
  <c r="S18" i="31"/>
  <c r="I18" i="31"/>
  <c r="D18" i="31"/>
  <c r="X17" i="31"/>
  <c r="S17" i="31"/>
  <c r="N17" i="31"/>
  <c r="M41" i="31" s="1"/>
  <c r="N41" i="31" s="1"/>
  <c r="I17" i="31"/>
  <c r="D17" i="31"/>
  <c r="X16" i="31"/>
  <c r="S16" i="31"/>
  <c r="I16" i="31"/>
  <c r="D16" i="31"/>
  <c r="X15" i="31"/>
  <c r="S15" i="31"/>
  <c r="I15" i="31"/>
  <c r="D15" i="31"/>
  <c r="X14" i="31"/>
  <c r="S14" i="31"/>
  <c r="I14" i="31"/>
  <c r="D14" i="31"/>
  <c r="X13" i="31"/>
  <c r="S13" i="31"/>
  <c r="I13" i="31"/>
  <c r="D13" i="31"/>
  <c r="X12" i="31"/>
  <c r="S12" i="31"/>
  <c r="I12" i="31"/>
  <c r="D12" i="31"/>
  <c r="X11" i="31"/>
  <c r="S11" i="31"/>
  <c r="I11" i="31"/>
  <c r="D11" i="31"/>
  <c r="X10" i="31"/>
  <c r="D10" i="31"/>
  <c r="X9" i="31"/>
  <c r="S9" i="31"/>
  <c r="I9" i="31"/>
  <c r="X8" i="31"/>
  <c r="S8" i="31"/>
  <c r="I8" i="31"/>
  <c r="D8" i="31"/>
  <c r="X7" i="31"/>
  <c r="S7" i="31"/>
  <c r="I7" i="31"/>
  <c r="D7" i="31"/>
  <c r="X6" i="31"/>
  <c r="S6" i="31"/>
  <c r="I6" i="31"/>
  <c r="D6" i="31"/>
  <c r="X5" i="31"/>
  <c r="W33" i="31" s="1"/>
  <c r="X33" i="31" s="1"/>
  <c r="S5" i="31"/>
  <c r="I5" i="31"/>
  <c r="H33" i="31" s="1"/>
  <c r="I33" i="31" s="1"/>
  <c r="D5" i="31"/>
  <c r="C33" i="31" s="1"/>
  <c r="D33" i="31" s="1"/>
  <c r="X4" i="31"/>
  <c r="S4" i="31"/>
  <c r="R32" i="31" s="1"/>
  <c r="N4" i="31"/>
  <c r="I4" i="31"/>
  <c r="H32" i="31" s="1"/>
  <c r="D4" i="31"/>
  <c r="C32" i="31" s="1"/>
  <c r="E51" i="19" l="1"/>
  <c r="D54" i="15" s="1"/>
  <c r="D68" i="15" s="1"/>
  <c r="L87" i="7"/>
  <c r="L59" i="7"/>
  <c r="L85" i="7"/>
  <c r="L45" i="7"/>
  <c r="E31" i="19"/>
  <c r="D30" i="15" s="1"/>
  <c r="D44" i="15" s="1"/>
  <c r="L82" i="7"/>
  <c r="L97" i="7"/>
  <c r="E56" i="19"/>
  <c r="D55" i="15" s="1"/>
  <c r="D69" i="15" s="1"/>
  <c r="H52" i="19"/>
  <c r="E36" i="19"/>
  <c r="D31" i="15" s="1"/>
  <c r="D45" i="15" s="1"/>
  <c r="H32" i="19"/>
  <c r="L47" i="7"/>
  <c r="L83" i="7"/>
  <c r="L44" i="7"/>
  <c r="H65" i="7"/>
  <c r="L46" i="7"/>
  <c r="L60" i="7"/>
  <c r="L84" i="7"/>
  <c r="H104" i="7"/>
  <c r="L98" i="7"/>
  <c r="H13" i="19"/>
  <c r="H33" i="19"/>
  <c r="H53" i="19"/>
  <c r="AV40" i="32"/>
  <c r="AW40" i="32" s="1"/>
  <c r="AG35" i="32"/>
  <c r="AH35" i="32" s="1"/>
  <c r="R31" i="32"/>
  <c r="S31" i="32" s="1"/>
  <c r="AG40" i="32"/>
  <c r="AH40" i="32" s="1"/>
  <c r="E89" i="32"/>
  <c r="AL35" i="32"/>
  <c r="AM35" i="32" s="1"/>
  <c r="AQ35" i="32"/>
  <c r="AR35" i="32" s="1"/>
  <c r="AL41" i="32"/>
  <c r="AM41" i="32" s="1"/>
  <c r="AQ40" i="32"/>
  <c r="AR40" i="32" s="1"/>
  <c r="D64" i="32"/>
  <c r="D65" i="32" s="1"/>
  <c r="AB41" i="32"/>
  <c r="AC41" i="32" s="1"/>
  <c r="E71" i="32"/>
  <c r="W31" i="32"/>
  <c r="X31" i="32" s="1"/>
  <c r="AB31" i="32"/>
  <c r="AC31" i="32" s="1"/>
  <c r="AQ41" i="32"/>
  <c r="AR41" i="32" s="1"/>
  <c r="AV41" i="32"/>
  <c r="AW41" i="32" s="1"/>
  <c r="AG31" i="32"/>
  <c r="AH31" i="32" s="1"/>
  <c r="H40" i="32"/>
  <c r="I40" i="32" s="1"/>
  <c r="C41" i="32"/>
  <c r="D41" i="32" s="1"/>
  <c r="R32" i="32"/>
  <c r="AV35" i="32"/>
  <c r="AW35" i="32" s="1"/>
  <c r="C35" i="32"/>
  <c r="D35" i="32" s="1"/>
  <c r="C40" i="32"/>
  <c r="D40" i="32" s="1"/>
  <c r="M35" i="32"/>
  <c r="N35" i="32" s="1"/>
  <c r="R35" i="32"/>
  <c r="S35" i="32" s="1"/>
  <c r="M40" i="32"/>
  <c r="N40" i="32" s="1"/>
  <c r="H41" i="32"/>
  <c r="I41" i="32" s="1"/>
  <c r="AV31" i="32"/>
  <c r="AW31" i="32" s="1"/>
  <c r="C31" i="32"/>
  <c r="D31" i="32" s="1"/>
  <c r="W35" i="32"/>
  <c r="X35" i="32" s="1"/>
  <c r="R40" i="32"/>
  <c r="S40" i="32" s="1"/>
  <c r="AB40" i="32"/>
  <c r="AC40" i="32" s="1"/>
  <c r="M41" i="32"/>
  <c r="N41" i="32" s="1"/>
  <c r="AG41" i="32"/>
  <c r="AH41" i="32" s="1"/>
  <c r="AB35" i="32"/>
  <c r="AC35" i="32" s="1"/>
  <c r="W40" i="32"/>
  <c r="X40" i="32" s="1"/>
  <c r="R41" i="32"/>
  <c r="S41" i="32" s="1"/>
  <c r="E53" i="32"/>
  <c r="W41" i="32"/>
  <c r="X41" i="32" s="1"/>
  <c r="D82" i="32"/>
  <c r="D83" i="32" s="1"/>
  <c r="N29" i="31"/>
  <c r="D94" i="29"/>
  <c r="D95" i="29" s="1"/>
  <c r="H35" i="32"/>
  <c r="I35" i="32" s="1"/>
  <c r="H31" i="32"/>
  <c r="I31" i="32" s="1"/>
  <c r="AR32" i="32"/>
  <c r="N32" i="32"/>
  <c r="AQ31" i="32"/>
  <c r="AR31" i="32" s="1"/>
  <c r="W32" i="32"/>
  <c r="M31" i="32"/>
  <c r="N31" i="32" s="1"/>
  <c r="AW32" i="32"/>
  <c r="BC33" i="32"/>
  <c r="BC43" i="32" s="1"/>
  <c r="AB32" i="32"/>
  <c r="D58" i="32"/>
  <c r="D59" i="32" s="1"/>
  <c r="D76" i="32"/>
  <c r="D77" i="32" s="1"/>
  <c r="D94" i="32"/>
  <c r="D95" i="32" s="1"/>
  <c r="C32" i="32"/>
  <c r="AG32" i="32"/>
  <c r="H32" i="32"/>
  <c r="AL32" i="32"/>
  <c r="D61" i="31"/>
  <c r="D62" i="31" s="1"/>
  <c r="I48" i="31" s="1"/>
  <c r="S29" i="31"/>
  <c r="C41" i="31"/>
  <c r="D41" i="31" s="1"/>
  <c r="R41" i="31"/>
  <c r="S41" i="31" s="1"/>
  <c r="H41" i="31"/>
  <c r="I41" i="31" s="1"/>
  <c r="R40" i="31"/>
  <c r="S40" i="31" s="1"/>
  <c r="C35" i="31"/>
  <c r="D35" i="31" s="1"/>
  <c r="H35" i="31"/>
  <c r="I35" i="31" s="1"/>
  <c r="H40" i="31"/>
  <c r="I40" i="31" s="1"/>
  <c r="W41" i="31"/>
  <c r="X41" i="31" s="1"/>
  <c r="W35" i="31"/>
  <c r="X35" i="31" s="1"/>
  <c r="W40" i="31"/>
  <c r="X40" i="31" s="1"/>
  <c r="R35" i="31"/>
  <c r="S35" i="31" s="1"/>
  <c r="X29" i="31"/>
  <c r="I32" i="31"/>
  <c r="S32" i="31"/>
  <c r="D32" i="31"/>
  <c r="M31" i="31"/>
  <c r="N31" i="31" s="1"/>
  <c r="M32" i="31"/>
  <c r="I29" i="31"/>
  <c r="R31" i="31"/>
  <c r="S31" i="31" s="1"/>
  <c r="R33" i="31"/>
  <c r="S33" i="31" s="1"/>
  <c r="W31" i="31"/>
  <c r="X31" i="31" s="1"/>
  <c r="W32" i="31"/>
  <c r="X32" i="31" s="1"/>
  <c r="H31" i="31"/>
  <c r="I31" i="31" s="1"/>
  <c r="E73" i="7" l="1"/>
  <c r="E39" i="19" s="1"/>
  <c r="E112" i="7"/>
  <c r="E59" i="19" s="1"/>
  <c r="R43" i="32"/>
  <c r="AW43" i="32"/>
  <c r="S32" i="32"/>
  <c r="S43" i="32" s="1"/>
  <c r="M43" i="32"/>
  <c r="N43" i="32"/>
  <c r="AQ43" i="32"/>
  <c r="AR43" i="32"/>
  <c r="AV43" i="32"/>
  <c r="W43" i="32"/>
  <c r="X32" i="32"/>
  <c r="X43" i="32" s="1"/>
  <c r="I32" i="32"/>
  <c r="I43" i="32" s="1"/>
  <c r="H43" i="32"/>
  <c r="AG43" i="32"/>
  <c r="AH32" i="32"/>
  <c r="AH43" i="32" s="1"/>
  <c r="AM32" i="32"/>
  <c r="C43" i="32"/>
  <c r="D32" i="32"/>
  <c r="D43" i="32" s="1"/>
  <c r="AB43" i="32"/>
  <c r="AC32" i="32"/>
  <c r="AC43" i="32" s="1"/>
  <c r="H43" i="31"/>
  <c r="W43" i="31"/>
  <c r="M43" i="31"/>
  <c r="N32" i="31"/>
  <c r="R43" i="31"/>
  <c r="D71" i="15" l="1"/>
  <c r="H59" i="19"/>
  <c r="D47" i="15"/>
  <c r="H39" i="19"/>
  <c r="AE2" i="27"/>
  <c r="F81" i="27"/>
  <c r="D81" i="27" s="1"/>
  <c r="D82" i="27" s="1"/>
  <c r="G82" i="27"/>
  <c r="E82" i="27"/>
  <c r="F69" i="27"/>
  <c r="F70" i="27" s="1"/>
  <c r="F75" i="27"/>
  <c r="F76" i="27" s="1"/>
  <c r="G76" i="27"/>
  <c r="E76" i="27"/>
  <c r="G70" i="27"/>
  <c r="E70" i="27"/>
  <c r="F57" i="27"/>
  <c r="F58" i="27" s="1"/>
  <c r="F63" i="27"/>
  <c r="F64" i="27" s="1"/>
  <c r="G64" i="27"/>
  <c r="E64" i="27"/>
  <c r="F51" i="27"/>
  <c r="D51" i="27" s="1"/>
  <c r="G58" i="27"/>
  <c r="E58" i="27"/>
  <c r="D57" i="27"/>
  <c r="D58" i="27" s="1"/>
  <c r="D69" i="27" l="1"/>
  <c r="D70" i="27" s="1"/>
  <c r="D63" i="27"/>
  <c r="D64" i="27" s="1"/>
  <c r="F82" i="27"/>
  <c r="D75" i="27"/>
  <c r="D76" i="27" s="1"/>
  <c r="X39" i="27" l="1"/>
  <c r="X38" i="27"/>
  <c r="X37" i="27"/>
  <c r="X36" i="27"/>
  <c r="X34" i="27"/>
  <c r="R40" i="27"/>
  <c r="S40" i="27" s="1"/>
  <c r="S39" i="27"/>
  <c r="S38" i="27"/>
  <c r="S37" i="27"/>
  <c r="S36" i="27"/>
  <c r="R35" i="27"/>
  <c r="S35" i="27" s="1"/>
  <c r="S34" i="27"/>
  <c r="R33" i="27"/>
  <c r="S33" i="27" s="1"/>
  <c r="N39" i="27"/>
  <c r="N38" i="27"/>
  <c r="N37" i="27"/>
  <c r="N36" i="27"/>
  <c r="N34" i="27"/>
  <c r="I5" i="27"/>
  <c r="H33" i="27" s="1"/>
  <c r="I33" i="27" s="1"/>
  <c r="I6" i="27"/>
  <c r="I7" i="27"/>
  <c r="I8" i="27"/>
  <c r="I10" i="27"/>
  <c r="I11" i="27"/>
  <c r="I12" i="27"/>
  <c r="I13" i="27"/>
  <c r="I14" i="27"/>
  <c r="I15" i="27"/>
  <c r="I16" i="27"/>
  <c r="I17" i="27"/>
  <c r="I18" i="27"/>
  <c r="I19" i="27"/>
  <c r="I20" i="27"/>
  <c r="I21" i="27"/>
  <c r="I22" i="27"/>
  <c r="I23" i="27"/>
  <c r="I24" i="27"/>
  <c r="I25" i="27"/>
  <c r="I26" i="27"/>
  <c r="I27" i="27"/>
  <c r="I34" i="27"/>
  <c r="I36" i="27"/>
  <c r="I37" i="27"/>
  <c r="I38" i="27"/>
  <c r="I39" i="27"/>
  <c r="AB33" i="27"/>
  <c r="AC33" i="27" s="1"/>
  <c r="AB32" i="27"/>
  <c r="AC32" i="27" s="1"/>
  <c r="A142" i="1"/>
  <c r="D17" i="27"/>
  <c r="X5" i="27"/>
  <c r="W33" i="27" s="1"/>
  <c r="X33" i="27" s="1"/>
  <c r="X6" i="27"/>
  <c r="X7" i="27"/>
  <c r="X8" i="27"/>
  <c r="X9" i="27"/>
  <c r="X11" i="27"/>
  <c r="X12" i="27"/>
  <c r="X13" i="27"/>
  <c r="X14" i="27"/>
  <c r="X15" i="27"/>
  <c r="X16" i="27"/>
  <c r="X17" i="27"/>
  <c r="X18" i="27"/>
  <c r="X19" i="27"/>
  <c r="X20" i="27"/>
  <c r="X21" i="27"/>
  <c r="X22" i="27"/>
  <c r="X23" i="27"/>
  <c r="X24" i="27"/>
  <c r="X25" i="27"/>
  <c r="X26" i="27"/>
  <c r="X27" i="27"/>
  <c r="X4" i="27"/>
  <c r="N4" i="27"/>
  <c r="M32" i="27" s="1"/>
  <c r="S17" i="27"/>
  <c r="R41" i="27" s="1"/>
  <c r="S41" i="27" s="1"/>
  <c r="S4" i="27"/>
  <c r="N5" i="27"/>
  <c r="M33" i="27" s="1"/>
  <c r="N33" i="27" s="1"/>
  <c r="N6" i="27"/>
  <c r="N7" i="27"/>
  <c r="N8" i="27"/>
  <c r="N9" i="27"/>
  <c r="N11" i="27"/>
  <c r="N12" i="27"/>
  <c r="N13" i="27"/>
  <c r="N14" i="27"/>
  <c r="N15" i="27"/>
  <c r="N16" i="27"/>
  <c r="N17" i="27"/>
  <c r="N18" i="27"/>
  <c r="N19" i="27"/>
  <c r="N20" i="27"/>
  <c r="N21" i="27"/>
  <c r="N22" i="27"/>
  <c r="N23" i="27"/>
  <c r="N24" i="27"/>
  <c r="N25" i="27"/>
  <c r="N26" i="27"/>
  <c r="N27" i="27"/>
  <c r="I4" i="27"/>
  <c r="H32" i="27" s="1"/>
  <c r="I32" i="27" s="1"/>
  <c r="W343" i="6"/>
  <c r="AC38" i="29"/>
  <c r="AL37" i="25"/>
  <c r="I39" i="29"/>
  <c r="AR39" i="29"/>
  <c r="AL34" i="25"/>
  <c r="F90" i="25"/>
  <c r="N38" i="29"/>
  <c r="S38" i="29"/>
  <c r="X37" i="29"/>
  <c r="AC37" i="29"/>
  <c r="AH38" i="29"/>
  <c r="AM39" i="29"/>
  <c r="N39" i="29"/>
  <c r="S39" i="29"/>
  <c r="I38" i="29"/>
  <c r="AM38" i="29"/>
  <c r="AL36" i="25"/>
  <c r="AH37" i="29"/>
  <c r="X38" i="29"/>
  <c r="H90" i="25"/>
  <c r="G90" i="25"/>
  <c r="N37" i="29"/>
  <c r="AL35" i="25"/>
  <c r="AR37" i="29"/>
  <c r="D31" i="28"/>
  <c r="AM37" i="29"/>
  <c r="X39" i="29"/>
  <c r="S37" i="29"/>
  <c r="AR38" i="29"/>
  <c r="AC39" i="29"/>
  <c r="AH39" i="29"/>
  <c r="I37" i="29"/>
  <c r="G113" i="25"/>
  <c r="BU39" i="25"/>
  <c r="BU38" i="25"/>
  <c r="AX38" i="25"/>
  <c r="AY38" i="25"/>
  <c r="BV31" i="25"/>
  <c r="BV30" i="25"/>
  <c r="AL32" i="25"/>
  <c r="S29" i="27" l="1"/>
  <c r="M40" i="27"/>
  <c r="N40" i="27" s="1"/>
  <c r="W31" i="27"/>
  <c r="X31" i="27" s="1"/>
  <c r="H35" i="27"/>
  <c r="I35" i="27" s="1"/>
  <c r="W40" i="27"/>
  <c r="X40" i="27" s="1"/>
  <c r="M35" i="27"/>
  <c r="N35" i="27" s="1"/>
  <c r="W41" i="27"/>
  <c r="X41" i="27" s="1"/>
  <c r="W35" i="27"/>
  <c r="X35" i="27" s="1"/>
  <c r="M41" i="27"/>
  <c r="N41" i="27" s="1"/>
  <c r="AB41" i="27"/>
  <c r="AC41" i="27" s="1"/>
  <c r="W32" i="27"/>
  <c r="AB40" i="27"/>
  <c r="AC40" i="27" s="1"/>
  <c r="AB35" i="27"/>
  <c r="AC35" i="27" s="1"/>
  <c r="H41" i="27"/>
  <c r="I41" i="27" s="1"/>
  <c r="M31" i="27"/>
  <c r="N31" i="27" s="1"/>
  <c r="R31" i="27"/>
  <c r="S31" i="27" s="1"/>
  <c r="R32" i="27"/>
  <c r="R43" i="27" s="1"/>
  <c r="N32" i="27"/>
  <c r="AB31" i="27"/>
  <c r="AC31" i="27" s="1"/>
  <c r="X29" i="27"/>
  <c r="AC29" i="27"/>
  <c r="N29" i="27"/>
  <c r="AF2" i="25"/>
  <c r="AE31" i="25"/>
  <c r="H135" i="25"/>
  <c r="F135" i="25"/>
  <c r="G135" i="25"/>
  <c r="E134" i="25"/>
  <c r="E135" i="25" s="1"/>
  <c r="H105" i="25"/>
  <c r="F105" i="25"/>
  <c r="E105" i="25"/>
  <c r="G105" i="25"/>
  <c r="D104" i="25"/>
  <c r="D105" i="25" s="1"/>
  <c r="H82" i="25"/>
  <c r="F82" i="25"/>
  <c r="G81" i="25"/>
  <c r="G82" i="25" s="1"/>
  <c r="E81" i="25"/>
  <c r="D81" i="25" s="1"/>
  <c r="BX2" i="25"/>
  <c r="AA32" i="25"/>
  <c r="AA34" i="25"/>
  <c r="AF34" i="25"/>
  <c r="AF32" i="25"/>
  <c r="AE30" i="25"/>
  <c r="S32" i="27" l="1"/>
  <c r="W43" i="27"/>
  <c r="M43" i="27"/>
  <c r="X32" i="27"/>
  <c r="AB43" i="27"/>
  <c r="D134" i="25"/>
  <c r="D135" i="25" s="1"/>
  <c r="E82" i="25"/>
  <c r="D82" i="25"/>
  <c r="AF31" i="25"/>
  <c r="AF30" i="25" l="1"/>
  <c r="AY36" i="25" l="1"/>
  <c r="AY37" i="25"/>
  <c r="AY35" i="25"/>
  <c r="BV35" i="25"/>
  <c r="BV36" i="25"/>
  <c r="BV37" i="25"/>
  <c r="BU29" i="25"/>
  <c r="BV34" i="25"/>
  <c r="BV32" i="25"/>
  <c r="BV39" i="25"/>
  <c r="BV38" i="25"/>
  <c r="BV33" i="25"/>
  <c r="BU31" i="25"/>
  <c r="BU30" i="25"/>
  <c r="AY34" i="25"/>
  <c r="AY32" i="25"/>
  <c r="AY31" i="25"/>
  <c r="AM13" i="29"/>
  <c r="AC13" i="29"/>
  <c r="X13" i="29"/>
  <c r="I13" i="29"/>
  <c r="N13" i="29"/>
  <c r="G82" i="29"/>
  <c r="AR4" i="29"/>
  <c r="E82" i="29"/>
  <c r="E76" i="29"/>
  <c r="E52" i="29"/>
  <c r="D37" i="29"/>
  <c r="D38" i="29"/>
  <c r="D36" i="29"/>
  <c r="D34" i="29"/>
  <c r="C33" i="29"/>
  <c r="D33" i="29" s="1"/>
  <c r="C32" i="29"/>
  <c r="E64" i="29"/>
  <c r="BV41" i="25" l="1"/>
  <c r="BU41" i="25"/>
  <c r="BV29" i="25"/>
  <c r="AX41" i="25"/>
  <c r="AY33" i="25"/>
  <c r="AX29" i="25"/>
  <c r="AY29" i="25" s="1"/>
  <c r="AY39" i="25"/>
  <c r="C35" i="29"/>
  <c r="D35" i="29" s="1"/>
  <c r="C40" i="29"/>
  <c r="D40" i="29" s="1"/>
  <c r="C41" i="29"/>
  <c r="D41" i="29" s="1"/>
  <c r="D32" i="29"/>
  <c r="C31" i="29"/>
  <c r="D31" i="29" s="1"/>
  <c r="E88" i="29"/>
  <c r="E89" i="29" s="1"/>
  <c r="G88" i="29"/>
  <c r="G89" i="29" s="1"/>
  <c r="H89" i="29"/>
  <c r="F89" i="29"/>
  <c r="H83" i="29"/>
  <c r="F83" i="29"/>
  <c r="G83" i="29"/>
  <c r="D82" i="29"/>
  <c r="D83" i="29" s="1"/>
  <c r="H77" i="29"/>
  <c r="F77" i="29"/>
  <c r="G76" i="29"/>
  <c r="G77" i="29" s="1"/>
  <c r="D76" i="29"/>
  <c r="D77" i="29" s="1"/>
  <c r="G70" i="29"/>
  <c r="G71" i="29" s="1"/>
  <c r="G64" i="29"/>
  <c r="G65" i="29" s="1"/>
  <c r="G58" i="29"/>
  <c r="G59" i="29" s="1"/>
  <c r="G53" i="29"/>
  <c r="E70" i="29"/>
  <c r="E71" i="29" s="1"/>
  <c r="H71" i="29"/>
  <c r="F71" i="29"/>
  <c r="D64" i="29"/>
  <c r="D65" i="29" s="1"/>
  <c r="E58" i="29"/>
  <c r="E59" i="29" s="1"/>
  <c r="E53" i="29"/>
  <c r="F65" i="29"/>
  <c r="F53" i="29"/>
  <c r="F59" i="29"/>
  <c r="H65" i="29"/>
  <c r="H59" i="29"/>
  <c r="AY30" i="25" l="1"/>
  <c r="C43" i="29"/>
  <c r="D43" i="29"/>
  <c r="D88" i="29"/>
  <c r="D89" i="29" s="1"/>
  <c r="E83" i="29"/>
  <c r="E77" i="29"/>
  <c r="D70" i="29"/>
  <c r="D71" i="29" s="1"/>
  <c r="E65" i="29"/>
  <c r="D58" i="29"/>
  <c r="D59" i="29" s="1"/>
  <c r="D52" i="29"/>
  <c r="AQ33" i="29"/>
  <c r="AR33" i="29" s="1"/>
  <c r="AQ32" i="29"/>
  <c r="AM5" i="29"/>
  <c r="AL33" i="29" s="1"/>
  <c r="AM33" i="29" s="1"/>
  <c r="AM6" i="29"/>
  <c r="AM7" i="29"/>
  <c r="AM8" i="29"/>
  <c r="AM9" i="29"/>
  <c r="AM10" i="29"/>
  <c r="AM11" i="29"/>
  <c r="AM12" i="29"/>
  <c r="AM14" i="29"/>
  <c r="AM15" i="29"/>
  <c r="AM16" i="29"/>
  <c r="AM17" i="29"/>
  <c r="AM18" i="29"/>
  <c r="AM19" i="29"/>
  <c r="AM20" i="29"/>
  <c r="AM21" i="29"/>
  <c r="AM22" i="29"/>
  <c r="AM23" i="29"/>
  <c r="AM24" i="29"/>
  <c r="AM25" i="29"/>
  <c r="AM26" i="29"/>
  <c r="AM27" i="29"/>
  <c r="AM4" i="29"/>
  <c r="AL32" i="29" s="1"/>
  <c r="AR36" i="29"/>
  <c r="AR34" i="29"/>
  <c r="AM36" i="29"/>
  <c r="AM34" i="29"/>
  <c r="B192" i="2"/>
  <c r="AH5" i="29"/>
  <c r="AG33" i="29" s="1"/>
  <c r="AH33" i="29" s="1"/>
  <c r="AH6" i="29"/>
  <c r="AH7" i="29"/>
  <c r="AH8" i="29"/>
  <c r="AH9" i="29"/>
  <c r="AH10" i="29"/>
  <c r="AH14" i="29"/>
  <c r="AH15" i="29"/>
  <c r="AH16" i="29"/>
  <c r="AH17" i="29"/>
  <c r="AH18" i="29"/>
  <c r="AH19" i="29"/>
  <c r="AH20" i="29"/>
  <c r="AH21" i="29"/>
  <c r="AH22" i="29"/>
  <c r="AH23" i="29"/>
  <c r="AH24" i="29"/>
  <c r="AH25" i="29"/>
  <c r="AH26" i="29"/>
  <c r="AH27" i="29"/>
  <c r="AH4" i="29"/>
  <c r="AG32" i="29" s="1"/>
  <c r="AH36" i="29"/>
  <c r="AH34" i="29"/>
  <c r="AC26" i="29"/>
  <c r="X26" i="29"/>
  <c r="S26" i="29"/>
  <c r="N26" i="29"/>
  <c r="I26" i="29"/>
  <c r="B79" i="2"/>
  <c r="AC5" i="29"/>
  <c r="AB33" i="29" s="1"/>
  <c r="AC33" i="29" s="1"/>
  <c r="AC6" i="29"/>
  <c r="AC7" i="29"/>
  <c r="AC8" i="29"/>
  <c r="AC9" i="29"/>
  <c r="AC10" i="29"/>
  <c r="AC11" i="29"/>
  <c r="AC12" i="29"/>
  <c r="AC14" i="29"/>
  <c r="AC15" i="29"/>
  <c r="AC16" i="29"/>
  <c r="AC17" i="29"/>
  <c r="AC18" i="29"/>
  <c r="AC19" i="29"/>
  <c r="AC20" i="29"/>
  <c r="AC21" i="29"/>
  <c r="AC22" i="29"/>
  <c r="AC23" i="29"/>
  <c r="AC24" i="29"/>
  <c r="AC25" i="29"/>
  <c r="AC27" i="29"/>
  <c r="AC4" i="29"/>
  <c r="AB32" i="29" s="1"/>
  <c r="AC36" i="29"/>
  <c r="AC34" i="29"/>
  <c r="AY41" i="25" l="1"/>
  <c r="AL40" i="29"/>
  <c r="AM40" i="29" s="1"/>
  <c r="AL35" i="29"/>
  <c r="AM35" i="29" s="1"/>
  <c r="AG35" i="29"/>
  <c r="AH35" i="29" s="1"/>
  <c r="AL41" i="29"/>
  <c r="AM41" i="29" s="1"/>
  <c r="AQ35" i="29"/>
  <c r="AR35" i="29" s="1"/>
  <c r="AR32" i="29"/>
  <c r="AQ41" i="29"/>
  <c r="AR41" i="29" s="1"/>
  <c r="AM32" i="29"/>
  <c r="AL31" i="29"/>
  <c r="AM31" i="29" s="1"/>
  <c r="AB40" i="29"/>
  <c r="AC40" i="29" s="1"/>
  <c r="AG41" i="29"/>
  <c r="AH41" i="29" s="1"/>
  <c r="AB35" i="29"/>
  <c r="AC35" i="29" s="1"/>
  <c r="AH32" i="29"/>
  <c r="AB41" i="29"/>
  <c r="AC41" i="29" s="1"/>
  <c r="AC32" i="29"/>
  <c r="AB31" i="29"/>
  <c r="AC31" i="29" s="1"/>
  <c r="AB43" i="29" l="1"/>
  <c r="AM43" i="29"/>
  <c r="AL43" i="29"/>
  <c r="AC43" i="29"/>
  <c r="X5" i="29" l="1"/>
  <c r="W33" i="29" s="1"/>
  <c r="X33" i="29" s="1"/>
  <c r="X6" i="29"/>
  <c r="X7" i="29"/>
  <c r="X8" i="29"/>
  <c r="X9" i="29"/>
  <c r="X10" i="29"/>
  <c r="X11" i="29"/>
  <c r="X12" i="29"/>
  <c r="X14" i="29"/>
  <c r="X15" i="29"/>
  <c r="X16" i="29"/>
  <c r="X17" i="29"/>
  <c r="X18" i="29"/>
  <c r="X19" i="29"/>
  <c r="X20" i="29"/>
  <c r="X21" i="29"/>
  <c r="X22" i="29"/>
  <c r="X23" i="29"/>
  <c r="X24" i="29"/>
  <c r="X25" i="29"/>
  <c r="X27" i="29"/>
  <c r="X4" i="29"/>
  <c r="W32" i="29" s="1"/>
  <c r="B71" i="2"/>
  <c r="X36" i="29"/>
  <c r="X34" i="29"/>
  <c r="S5" i="29"/>
  <c r="R33" i="29" s="1"/>
  <c r="S33" i="29" s="1"/>
  <c r="S6" i="29"/>
  <c r="S7" i="29"/>
  <c r="S8" i="29"/>
  <c r="S9" i="29"/>
  <c r="S10" i="29"/>
  <c r="S15" i="29"/>
  <c r="S16" i="29"/>
  <c r="S17" i="29"/>
  <c r="S18" i="29"/>
  <c r="S19" i="29"/>
  <c r="S20" i="29"/>
  <c r="S21" i="29"/>
  <c r="S22" i="29"/>
  <c r="S23" i="29"/>
  <c r="S24" i="29"/>
  <c r="S25" i="29"/>
  <c r="S27" i="29"/>
  <c r="S4" i="29"/>
  <c r="R32" i="29" s="1"/>
  <c r="S36" i="29"/>
  <c r="S34" i="29"/>
  <c r="B58" i="2"/>
  <c r="N5" i="29"/>
  <c r="M33" i="29" s="1"/>
  <c r="N33" i="29" s="1"/>
  <c r="N6" i="29"/>
  <c r="N7" i="29"/>
  <c r="N8" i="29"/>
  <c r="N9" i="29"/>
  <c r="N10" i="29"/>
  <c r="N11" i="29"/>
  <c r="N12" i="29"/>
  <c r="N14" i="29"/>
  <c r="N15" i="29"/>
  <c r="N16" i="29"/>
  <c r="N17" i="29"/>
  <c r="N18" i="29"/>
  <c r="N19" i="29"/>
  <c r="N20" i="29"/>
  <c r="N21" i="29"/>
  <c r="N22" i="29"/>
  <c r="N23" i="29"/>
  <c r="N24" i="29"/>
  <c r="N25" i="29"/>
  <c r="N27" i="29"/>
  <c r="N4" i="29"/>
  <c r="M32" i="29" s="1"/>
  <c r="N32" i="29" s="1"/>
  <c r="N36" i="29"/>
  <c r="N34" i="29"/>
  <c r="B51" i="2"/>
  <c r="B28" i="2"/>
  <c r="I36" i="29"/>
  <c r="I34" i="29"/>
  <c r="I5" i="29"/>
  <c r="H33" i="29" s="1"/>
  <c r="I33" i="29" s="1"/>
  <c r="I6" i="29"/>
  <c r="I7" i="29"/>
  <c r="I8" i="29"/>
  <c r="I9" i="29"/>
  <c r="I10" i="29"/>
  <c r="I11" i="29"/>
  <c r="I12" i="29"/>
  <c r="I14" i="29"/>
  <c r="I15" i="29"/>
  <c r="I16" i="29"/>
  <c r="I17" i="29"/>
  <c r="I18" i="29"/>
  <c r="I19" i="29"/>
  <c r="I20" i="29"/>
  <c r="I21" i="29"/>
  <c r="I22" i="29"/>
  <c r="I23" i="29"/>
  <c r="I24" i="29"/>
  <c r="I25" i="29"/>
  <c r="I27" i="29"/>
  <c r="I4" i="29"/>
  <c r="H53" i="29"/>
  <c r="M40" i="29" l="1"/>
  <c r="N40" i="29" s="1"/>
  <c r="W40" i="29"/>
  <c r="X40" i="29" s="1"/>
  <c r="W35" i="29"/>
  <c r="X35" i="29" s="1"/>
  <c r="R35" i="29"/>
  <c r="S35" i="29" s="1"/>
  <c r="R40" i="29"/>
  <c r="S40" i="29" s="1"/>
  <c r="M41" i="29"/>
  <c r="N41" i="29" s="1"/>
  <c r="M35" i="29"/>
  <c r="N35" i="29" s="1"/>
  <c r="W41" i="29"/>
  <c r="X41" i="29" s="1"/>
  <c r="X32" i="29"/>
  <c r="W31" i="29"/>
  <c r="X31" i="29" s="1"/>
  <c r="R41" i="29"/>
  <c r="S41" i="29" s="1"/>
  <c r="S32" i="29"/>
  <c r="R31" i="29"/>
  <c r="S31" i="29" s="1"/>
  <c r="M31" i="29"/>
  <c r="N31" i="29" s="1"/>
  <c r="H35" i="29"/>
  <c r="I35" i="29" s="1"/>
  <c r="H40" i="29"/>
  <c r="I40" i="29" s="1"/>
  <c r="H41" i="29"/>
  <c r="I41" i="29" s="1"/>
  <c r="H31" i="29"/>
  <c r="I31" i="29" s="1"/>
  <c r="H32" i="29"/>
  <c r="I32" i="29" s="1"/>
  <c r="D53" i="29"/>
  <c r="X43" i="29" l="1"/>
  <c r="I43" i="29"/>
  <c r="N43" i="29"/>
  <c r="W43" i="29"/>
  <c r="S43" i="29"/>
  <c r="R43" i="29"/>
  <c r="M43" i="29"/>
  <c r="H43" i="29"/>
  <c r="Z31" i="25" l="1"/>
  <c r="AA31" i="25" s="1"/>
  <c r="Z5" i="25"/>
  <c r="Z6" i="25"/>
  <c r="Z7" i="25"/>
  <c r="Z8" i="25"/>
  <c r="Z9" i="25"/>
  <c r="Z10" i="25"/>
  <c r="Z13" i="25"/>
  <c r="Z14" i="25"/>
  <c r="Z15" i="25"/>
  <c r="Z16" i="25"/>
  <c r="Z17" i="25"/>
  <c r="Z18" i="25"/>
  <c r="Z19" i="25"/>
  <c r="Z20" i="25"/>
  <c r="Z21" i="25"/>
  <c r="Z22" i="25"/>
  <c r="Z23" i="25"/>
  <c r="Z24" i="25"/>
  <c r="Z25" i="25"/>
  <c r="Z4" i="25"/>
  <c r="N5" i="22" l="1"/>
  <c r="BP31" i="25"/>
  <c r="BQ31" i="25" s="1"/>
  <c r="BL5" i="25"/>
  <c r="BK31" i="25" s="1"/>
  <c r="BL6" i="25"/>
  <c r="BL12" i="25"/>
  <c r="BL13" i="25"/>
  <c r="BL14" i="25"/>
  <c r="BL15" i="25"/>
  <c r="BL16" i="25"/>
  <c r="BL17" i="25"/>
  <c r="BL18" i="25"/>
  <c r="BL19" i="25"/>
  <c r="BL20" i="25"/>
  <c r="BL21" i="25"/>
  <c r="BL22" i="25"/>
  <c r="BL23" i="25"/>
  <c r="BK5" i="25"/>
  <c r="BJ31" i="25" s="1"/>
  <c r="BK6" i="25"/>
  <c r="BK12" i="25"/>
  <c r="BK13" i="25"/>
  <c r="BK14" i="25"/>
  <c r="BK15" i="25"/>
  <c r="BK16" i="25"/>
  <c r="BK17" i="25"/>
  <c r="BK18" i="25"/>
  <c r="BK19" i="25"/>
  <c r="BK20" i="25"/>
  <c r="BK21" i="25"/>
  <c r="BK22" i="25"/>
  <c r="BK23" i="25"/>
  <c r="BL4" i="25"/>
  <c r="BK4" i="25"/>
  <c r="BE31" i="25"/>
  <c r="BD5" i="25"/>
  <c r="BD6" i="25"/>
  <c r="BD7" i="25"/>
  <c r="BD10" i="25"/>
  <c r="BD13" i="25"/>
  <c r="BD14" i="25"/>
  <c r="BD15" i="25"/>
  <c r="BD16" i="25"/>
  <c r="BD17" i="25"/>
  <c r="BD18" i="25"/>
  <c r="BD19" i="25"/>
  <c r="BD20" i="25"/>
  <c r="BD21" i="25"/>
  <c r="BD22" i="25"/>
  <c r="BD23" i="25"/>
  <c r="BD24" i="25"/>
  <c r="BD25" i="25"/>
  <c r="BD4" i="25"/>
  <c r="AS31" i="25"/>
  <c r="AQ5" i="25"/>
  <c r="AQ6" i="25"/>
  <c r="AQ7" i="25"/>
  <c r="AQ10" i="25"/>
  <c r="AQ13" i="25"/>
  <c r="AQ14" i="25"/>
  <c r="AQ15" i="25"/>
  <c r="AQ16" i="25"/>
  <c r="AQ17" i="25"/>
  <c r="AQ18" i="25"/>
  <c r="AQ19" i="25"/>
  <c r="AQ20" i="25"/>
  <c r="AQ21" i="25"/>
  <c r="AQ22" i="25"/>
  <c r="AQ23" i="25"/>
  <c r="AQ24" i="25"/>
  <c r="AQ25" i="25"/>
  <c r="AQ4" i="25"/>
  <c r="AQ31" i="25"/>
  <c r="AK31" i="25"/>
  <c r="AL31" i="25" s="1"/>
  <c r="AK5" i="25"/>
  <c r="AK6" i="25"/>
  <c r="AK7" i="25"/>
  <c r="AK10" i="25"/>
  <c r="AK13" i="25"/>
  <c r="AK14" i="25"/>
  <c r="AK15" i="25"/>
  <c r="AK16" i="25"/>
  <c r="AK17" i="25"/>
  <c r="AK18" i="25"/>
  <c r="AK19" i="25"/>
  <c r="AK20" i="25"/>
  <c r="AK21" i="25"/>
  <c r="AK22" i="25"/>
  <c r="AK23" i="25"/>
  <c r="AK24" i="25"/>
  <c r="AK25" i="25"/>
  <c r="AK4" i="25"/>
  <c r="T31" i="25"/>
  <c r="S31" i="25"/>
  <c r="S14" i="25"/>
  <c r="S15" i="25"/>
  <c r="S16" i="25"/>
  <c r="S17" i="25"/>
  <c r="S18" i="25"/>
  <c r="S19" i="25"/>
  <c r="S20" i="25"/>
  <c r="S21" i="25"/>
  <c r="S22" i="25"/>
  <c r="S23" i="25"/>
  <c r="S24" i="25"/>
  <c r="S25" i="25"/>
  <c r="S13" i="25"/>
  <c r="S10" i="25"/>
  <c r="S7" i="25"/>
  <c r="S6" i="25"/>
  <c r="S5" i="25"/>
  <c r="S4" i="25"/>
  <c r="D31" i="26"/>
  <c r="G74" i="25"/>
  <c r="G50" i="25"/>
  <c r="G58" i="25"/>
  <c r="G121" i="25"/>
  <c r="G122" i="25"/>
  <c r="G66" i="25"/>
  <c r="G128" i="25"/>
  <c r="G120" i="25"/>
  <c r="G114" i="25"/>
  <c r="G112" i="25"/>
  <c r="G98" i="25"/>
  <c r="G97" i="25"/>
  <c r="G95" i="25"/>
  <c r="G88" i="25"/>
  <c r="G87" i="25"/>
  <c r="G51" i="25"/>
  <c r="G52" i="25"/>
  <c r="G48" i="26"/>
  <c r="E48" i="26"/>
  <c r="E48" i="28"/>
  <c r="BL31" i="25" l="1"/>
  <c r="A24" i="24"/>
  <c r="D5" i="28"/>
  <c r="C30" i="28" s="1"/>
  <c r="D30" i="28" s="1"/>
  <c r="D6" i="28"/>
  <c r="D7" i="28"/>
  <c r="D8" i="28"/>
  <c r="D9" i="28"/>
  <c r="D10" i="28"/>
  <c r="D11" i="28"/>
  <c r="D12" i="28"/>
  <c r="D13" i="28"/>
  <c r="D14" i="28"/>
  <c r="D15" i="28"/>
  <c r="D16" i="28"/>
  <c r="D17" i="28"/>
  <c r="D18" i="28"/>
  <c r="D19" i="28"/>
  <c r="D20" i="28"/>
  <c r="D21" i="28"/>
  <c r="D22" i="28"/>
  <c r="D23" i="28"/>
  <c r="D24" i="28"/>
  <c r="D4" i="28"/>
  <c r="C29" i="28" s="1"/>
  <c r="H49" i="28"/>
  <c r="G49" i="28"/>
  <c r="F49" i="28"/>
  <c r="E49" i="28"/>
  <c r="A157" i="1"/>
  <c r="C33" i="27"/>
  <c r="D33" i="27" s="1"/>
  <c r="C32" i="27"/>
  <c r="D32" i="27" s="1"/>
  <c r="G52" i="27"/>
  <c r="F52" i="27"/>
  <c r="E52" i="27"/>
  <c r="E128" i="25"/>
  <c r="E129" i="25" s="1"/>
  <c r="E121" i="25"/>
  <c r="BQ34" i="25"/>
  <c r="BQ32" i="25"/>
  <c r="H129" i="25"/>
  <c r="G129" i="25"/>
  <c r="F129" i="25"/>
  <c r="D34" i="26"/>
  <c r="D11" i="26"/>
  <c r="D23" i="26"/>
  <c r="D24" i="26"/>
  <c r="D5" i="26"/>
  <c r="C30" i="26" s="1"/>
  <c r="D30" i="26" s="1"/>
  <c r="D6" i="26"/>
  <c r="D7" i="26"/>
  <c r="D8" i="26"/>
  <c r="D10" i="26"/>
  <c r="D12" i="26"/>
  <c r="D13" i="26"/>
  <c r="D14" i="26"/>
  <c r="D15" i="26"/>
  <c r="D16" i="26"/>
  <c r="D17" i="26"/>
  <c r="D18" i="26"/>
  <c r="D19" i="26"/>
  <c r="D20" i="26"/>
  <c r="D21" i="26"/>
  <c r="D22" i="26"/>
  <c r="D4" i="26"/>
  <c r="H49" i="26"/>
  <c r="G49" i="26"/>
  <c r="F49" i="26"/>
  <c r="F123" i="25"/>
  <c r="H123" i="25"/>
  <c r="G123" i="25"/>
  <c r="E120" i="25"/>
  <c r="D120" i="25" s="1"/>
  <c r="D29" i="28" l="1"/>
  <c r="C37" i="28"/>
  <c r="D37" i="28" s="1"/>
  <c r="C40" i="27"/>
  <c r="D40" i="27" s="1"/>
  <c r="C38" i="28"/>
  <c r="D38" i="28" s="1"/>
  <c r="C32" i="28"/>
  <c r="D32" i="28" s="1"/>
  <c r="D48" i="28"/>
  <c r="D49" i="28" s="1"/>
  <c r="C28" i="28"/>
  <c r="D28" i="28" s="1"/>
  <c r="D52" i="27"/>
  <c r="D128" i="25"/>
  <c r="D129" i="25" s="1"/>
  <c r="C38" i="26"/>
  <c r="D38" i="26" s="1"/>
  <c r="C32" i="26"/>
  <c r="D32" i="26" s="1"/>
  <c r="C29" i="26"/>
  <c r="E122" i="25"/>
  <c r="D122" i="25" s="1"/>
  <c r="BK30" i="25"/>
  <c r="BJ30" i="25"/>
  <c r="BL34" i="25"/>
  <c r="BL32" i="25"/>
  <c r="H115" i="25"/>
  <c r="G115" i="25"/>
  <c r="F115" i="25"/>
  <c r="D112" i="25"/>
  <c r="BD30" i="25"/>
  <c r="BD12" i="25"/>
  <c r="BF34" i="25"/>
  <c r="BF32" i="25"/>
  <c r="H99" i="25"/>
  <c r="G99" i="25"/>
  <c r="F99" i="25"/>
  <c r="D95" i="25"/>
  <c r="AQ12" i="25"/>
  <c r="AT34" i="25"/>
  <c r="AT32" i="25"/>
  <c r="C40" i="28" l="1"/>
  <c r="D29" i="26"/>
  <c r="E123" i="25"/>
  <c r="D121" i="25"/>
  <c r="D123" i="25" s="1"/>
  <c r="D87" i="25"/>
  <c r="AK12" i="25"/>
  <c r="H76" i="25"/>
  <c r="G76" i="25"/>
  <c r="F76" i="25"/>
  <c r="D74" i="25"/>
  <c r="Z12" i="25"/>
  <c r="Z30" i="25"/>
  <c r="AA30" i="25" s="1"/>
  <c r="E68" i="25"/>
  <c r="D68" i="25" s="1"/>
  <c r="A178" i="6"/>
  <c r="S12" i="25"/>
  <c r="E59" i="25"/>
  <c r="H69" i="25"/>
  <c r="G69" i="25"/>
  <c r="F69" i="25"/>
  <c r="D66" i="25"/>
  <c r="BL30" i="25" l="1"/>
  <c r="AQ39" i="25"/>
  <c r="AK39" i="25"/>
  <c r="AL39" i="25" s="1"/>
  <c r="AQ33" i="25"/>
  <c r="AQ30" i="25"/>
  <c r="U34" i="25" l="1"/>
  <c r="U32" i="25"/>
  <c r="H61" i="25"/>
  <c r="G61" i="25"/>
  <c r="F61" i="25"/>
  <c r="D59" i="25"/>
  <c r="D58" i="25"/>
  <c r="H53" i="25"/>
  <c r="G53" i="25"/>
  <c r="F53" i="25"/>
  <c r="D50" i="25"/>
  <c r="D49" i="25"/>
  <c r="N32" i="25"/>
  <c r="N34" i="25"/>
  <c r="A786" i="6" l="1"/>
  <c r="A799" i="6"/>
  <c r="G32" i="25"/>
  <c r="AK11" i="25"/>
  <c r="AJ38" i="25" s="1"/>
  <c r="Z11" i="25"/>
  <c r="Y38" i="25" s="1"/>
  <c r="L11" i="25"/>
  <c r="L12" i="25" l="1"/>
  <c r="L25" i="25"/>
  <c r="L13" i="25"/>
  <c r="L24" i="25"/>
  <c r="L16" i="25"/>
  <c r="L14" i="25"/>
  <c r="C810" i="6"/>
  <c r="S11" i="25"/>
  <c r="R38" i="25" s="1"/>
  <c r="L21" i="25"/>
  <c r="L20" i="25"/>
  <c r="Y41" i="25"/>
  <c r="AJ41" i="25"/>
  <c r="L23" i="25"/>
  <c r="L22" i="25"/>
  <c r="L19" i="25"/>
  <c r="L18" i="25"/>
  <c r="L15" i="25"/>
  <c r="L17" i="25"/>
  <c r="AJ29" i="25"/>
  <c r="Y29" i="25"/>
  <c r="E11" i="25"/>
  <c r="E18" i="25"/>
  <c r="C808" i="6"/>
  <c r="Z787" i="6"/>
  <c r="C807" i="6"/>
  <c r="E15" i="25" l="1"/>
  <c r="K38" i="25"/>
  <c r="L10" i="25"/>
  <c r="L5" i="25"/>
  <c r="K31" i="25" s="1"/>
  <c r="E4" i="25"/>
  <c r="L6" i="25"/>
  <c r="L4" i="25"/>
  <c r="R41" i="25"/>
  <c r="E13" i="25"/>
  <c r="L7" i="25"/>
  <c r="E24" i="25"/>
  <c r="E17" i="25"/>
  <c r="E23" i="25"/>
  <c r="E25" i="25"/>
  <c r="E19" i="25"/>
  <c r="E16" i="25"/>
  <c r="E7" i="25"/>
  <c r="E22" i="25"/>
  <c r="E21" i="25"/>
  <c r="E6" i="25"/>
  <c r="E20" i="25"/>
  <c r="E10" i="25"/>
  <c r="E5" i="25"/>
  <c r="D31" i="25" s="1"/>
  <c r="E14" i="25"/>
  <c r="E12" i="25"/>
  <c r="K41" i="25" l="1"/>
  <c r="D38" i="25"/>
  <c r="D33" i="25"/>
  <c r="R29" i="25"/>
  <c r="D29" i="25"/>
  <c r="D41" i="25" l="1"/>
  <c r="J36" i="24"/>
  <c r="J35" i="24"/>
  <c r="J34" i="24"/>
  <c r="J33" i="24"/>
  <c r="I36" i="24"/>
  <c r="I35" i="24"/>
  <c r="I34" i="24"/>
  <c r="I33" i="24"/>
  <c r="J32" i="24"/>
  <c r="J31" i="24"/>
  <c r="I32" i="24"/>
  <c r="I31" i="24"/>
  <c r="H54" i="24"/>
  <c r="H52" i="24"/>
  <c r="H56" i="24" s="1"/>
  <c r="H50" i="24"/>
  <c r="H49" i="24"/>
  <c r="H45" i="24"/>
  <c r="J29" i="24"/>
  <c r="J28" i="24"/>
  <c r="J27" i="24"/>
  <c r="J66" i="2"/>
  <c r="H60" i="24" l="1"/>
  <c r="H51" i="24"/>
  <c r="BE38" i="25" l="1"/>
  <c r="AS38" i="25"/>
  <c r="AR38" i="25"/>
  <c r="AK38" i="25"/>
  <c r="AL38" i="25" s="1"/>
  <c r="BK11" i="25"/>
  <c r="BJ38" i="25" s="1"/>
  <c r="BK24" i="25"/>
  <c r="BK7" i="25"/>
  <c r="BL11" i="25"/>
  <c r="BK38" i="25" s="1"/>
  <c r="BL24" i="25"/>
  <c r="BL7" i="25"/>
  <c r="AQ11" i="25"/>
  <c r="AP38" i="25" s="1"/>
  <c r="BD31" i="25"/>
  <c r="BF31" i="25" s="1"/>
  <c r="AE38" i="25"/>
  <c r="AF38" i="25" s="1"/>
  <c r="T38" i="25"/>
  <c r="W778" i="6"/>
  <c r="W777" i="6"/>
  <c r="W776" i="6"/>
  <c r="W775" i="6"/>
  <c r="W774" i="6"/>
  <c r="W773" i="6"/>
  <c r="W772" i="6"/>
  <c r="W771" i="6"/>
  <c r="Z770" i="6"/>
  <c r="W770" i="6"/>
  <c r="AQ38" i="25" l="1"/>
  <c r="AQ41" i="25" s="1"/>
  <c r="AR31" i="25"/>
  <c r="AT31" i="25" s="1"/>
  <c r="BK10" i="25"/>
  <c r="BJ33" i="25" s="1"/>
  <c r="BD38" i="25"/>
  <c r="BK25" i="25"/>
  <c r="BJ39" i="25" s="1"/>
  <c r="BE33" i="25"/>
  <c r="BL10" i="25"/>
  <c r="BK33" i="25" s="1"/>
  <c r="AS33" i="25"/>
  <c r="BL38" i="25"/>
  <c r="BL25" i="25"/>
  <c r="BK39" i="25" s="1"/>
  <c r="BP38" i="25"/>
  <c r="BQ38" i="25" s="1"/>
  <c r="BD39" i="25"/>
  <c r="AT38" i="25"/>
  <c r="AP41" i="25"/>
  <c r="Z39" i="25"/>
  <c r="AA39" i="25" s="1"/>
  <c r="AE39" i="25"/>
  <c r="AF39" i="25" s="1"/>
  <c r="A577" i="6"/>
  <c r="A769" i="6"/>
  <c r="A778" i="6"/>
  <c r="A549" i="6"/>
  <c r="AP29" i="25"/>
  <c r="AR39" i="25"/>
  <c r="AS30" i="25"/>
  <c r="A423" i="6"/>
  <c r="A338" i="6"/>
  <c r="A448" i="6"/>
  <c r="A268" i="6"/>
  <c r="E52" i="25"/>
  <c r="D52" i="25" s="1"/>
  <c r="E31" i="25"/>
  <c r="AS39" i="25" l="1"/>
  <c r="AS41" i="25" s="1"/>
  <c r="AE29" i="25"/>
  <c r="AF29" i="25" s="1"/>
  <c r="AE33" i="25"/>
  <c r="BK41" i="25"/>
  <c r="BJ41" i="25"/>
  <c r="F31" i="25"/>
  <c r="F38" i="25"/>
  <c r="E38" i="25"/>
  <c r="Z33" i="25"/>
  <c r="BJ29" i="25"/>
  <c r="BE39" i="25"/>
  <c r="BF39" i="25" s="1"/>
  <c r="AK33" i="25"/>
  <c r="AL33" i="25" s="1"/>
  <c r="BD29" i="25"/>
  <c r="BL39" i="25"/>
  <c r="BK29" i="25"/>
  <c r="BD33" i="25"/>
  <c r="BD41" i="25" s="1"/>
  <c r="BE30" i="25"/>
  <c r="BE29" i="25"/>
  <c r="BL33" i="25"/>
  <c r="AR33" i="25"/>
  <c r="AT33" i="25" s="1"/>
  <c r="AR30" i="25"/>
  <c r="AR29" i="25"/>
  <c r="AS29" i="25"/>
  <c r="AQ29" i="25"/>
  <c r="AK30" i="25"/>
  <c r="AL30" i="25" s="1"/>
  <c r="AK29" i="25"/>
  <c r="AL29" i="25" s="1"/>
  <c r="F30" i="25"/>
  <c r="F33" i="25"/>
  <c r="E39" i="25"/>
  <c r="E29" i="25"/>
  <c r="E33" i="25"/>
  <c r="E30" i="25"/>
  <c r="J38" i="21"/>
  <c r="AR41" i="25" l="1"/>
  <c r="AT39" i="25"/>
  <c r="AF33" i="25"/>
  <c r="AF41" i="25" s="1"/>
  <c r="AE41" i="25"/>
  <c r="AK41" i="25"/>
  <c r="AA33" i="25"/>
  <c r="BL41" i="25"/>
  <c r="BE41" i="25"/>
  <c r="E41" i="25"/>
  <c r="BL29" i="25"/>
  <c r="BF33" i="25"/>
  <c r="AT30" i="25"/>
  <c r="BF30" i="25"/>
  <c r="BP33" i="25"/>
  <c r="K29" i="25"/>
  <c r="BP30" i="25"/>
  <c r="BQ30" i="25" s="1"/>
  <c r="AT29" i="25"/>
  <c r="AT41" i="25" l="1"/>
  <c r="BQ33" i="25"/>
  <c r="D7" i="11" l="1"/>
  <c r="K9" i="11" l="1"/>
  <c r="F9" i="11"/>
  <c r="I9" i="11" s="1"/>
  <c r="T24" i="21"/>
  <c r="S24" i="21"/>
  <c r="T23" i="21"/>
  <c r="R23" i="21"/>
  <c r="L9" i="11" l="1"/>
  <c r="R12" i="21"/>
  <c r="L27" i="21" l="1"/>
  <c r="K27" i="21"/>
  <c r="R9" i="21"/>
  <c r="K25" i="21" l="1"/>
  <c r="J25" i="21"/>
  <c r="L24" i="21"/>
  <c r="L26" i="21"/>
  <c r="K24" i="21"/>
  <c r="K26" i="21"/>
  <c r="J24" i="21"/>
  <c r="J26" i="21"/>
  <c r="K23" i="21"/>
  <c r="L23" i="21"/>
  <c r="J23" i="21"/>
  <c r="K25" i="5"/>
  <c r="L25" i="21" s="1"/>
  <c r="T8" i="21"/>
  <c r="S8" i="21"/>
  <c r="R8" i="21"/>
  <c r="L8" i="21"/>
  <c r="K8" i="21"/>
  <c r="J8" i="21"/>
  <c r="T11" i="21"/>
  <c r="S11" i="21"/>
  <c r="T7" i="21"/>
  <c r="T9" i="21"/>
  <c r="T10" i="21"/>
  <c r="S7" i="21"/>
  <c r="S9" i="21"/>
  <c r="S10" i="21"/>
  <c r="R7" i="21"/>
  <c r="R10" i="21"/>
  <c r="T6" i="21"/>
  <c r="S6" i="21"/>
  <c r="R6" i="21"/>
  <c r="K35" i="1" l="1"/>
  <c r="T12" i="21" s="1"/>
  <c r="L7" i="21"/>
  <c r="L9" i="21"/>
  <c r="K7" i="21"/>
  <c r="K9" i="21"/>
  <c r="K10" i="21"/>
  <c r="J7" i="21"/>
  <c r="J9" i="21"/>
  <c r="J10" i="21"/>
  <c r="J37" i="21" s="1"/>
  <c r="L6" i="21"/>
  <c r="K6" i="21"/>
  <c r="J6" i="21"/>
  <c r="L12" i="21"/>
  <c r="K80" i="2"/>
  <c r="L10" i="21" s="1"/>
  <c r="K12" i="21"/>
  <c r="J33" i="21" l="1"/>
  <c r="J35" i="21" l="1"/>
  <c r="J34" i="21"/>
  <c r="J36" i="21"/>
  <c r="E113" i="25" l="1"/>
  <c r="E75" i="25"/>
  <c r="D48" i="26"/>
  <c r="E114" i="25" l="1"/>
  <c r="D114" i="25" s="1"/>
  <c r="F39" i="25"/>
  <c r="F41" i="25" s="1"/>
  <c r="F29" i="25"/>
  <c r="E97" i="25"/>
  <c r="D97" i="25" s="1"/>
  <c r="E67" i="25"/>
  <c r="D113" i="25"/>
  <c r="E49" i="26"/>
  <c r="D49" i="26"/>
  <c r="E96" i="25"/>
  <c r="D96" i="25" s="1"/>
  <c r="E88" i="25"/>
  <c r="E90" i="25" s="1"/>
  <c r="E98" i="25"/>
  <c r="D98" i="25" s="1"/>
  <c r="E76" i="25"/>
  <c r="D75" i="25"/>
  <c r="D76" i="25" s="1"/>
  <c r="E60" i="25"/>
  <c r="E51" i="25"/>
  <c r="D115" i="25" l="1"/>
  <c r="E115" i="25"/>
  <c r="D99" i="25"/>
  <c r="E99" i="25"/>
  <c r="D88" i="25"/>
  <c r="D90" i="25" s="1"/>
  <c r="D67" i="25"/>
  <c r="D69" i="25" s="1"/>
  <c r="E69" i="25"/>
  <c r="D51" i="25"/>
  <c r="D53" i="25" s="1"/>
  <c r="E53" i="25"/>
  <c r="D60" i="25"/>
  <c r="D61" i="25" s="1"/>
  <c r="E61" i="25"/>
  <c r="BP29" i="25" l="1"/>
  <c r="BQ29" i="25" s="1"/>
  <c r="BP39" i="25"/>
  <c r="I193" i="2"/>
  <c r="J193" i="2" l="1"/>
  <c r="AR11" i="29"/>
  <c r="BP41" i="25"/>
  <c r="BQ39" i="25"/>
  <c r="BQ41" i="25" s="1"/>
  <c r="AQ40" i="29" l="1"/>
  <c r="AQ31" i="29"/>
  <c r="AR31" i="29" s="1"/>
  <c r="AR40" i="29" l="1"/>
  <c r="AR43" i="29" s="1"/>
  <c r="AQ43" i="29"/>
  <c r="J49" i="5" l="1"/>
  <c r="S23" i="21" l="1"/>
  <c r="J68" i="5" l="1"/>
  <c r="B14" i="14" s="1"/>
  <c r="J69" i="5"/>
  <c r="D14" i="14" s="1"/>
  <c r="J67" i="5"/>
  <c r="C14" i="14" s="1"/>
  <c r="B16" i="11" l="1"/>
  <c r="K16" i="11"/>
  <c r="C35" i="19" l="1"/>
  <c r="C55" i="19"/>
  <c r="C15" i="19"/>
  <c r="J16" i="11"/>
  <c r="L16" i="11"/>
  <c r="H15" i="19" l="1"/>
  <c r="C16" i="19"/>
  <c r="H55" i="19"/>
  <c r="H56" i="19" s="1"/>
  <c r="C56" i="19"/>
  <c r="H35" i="19"/>
  <c r="H36" i="19" s="1"/>
  <c r="C36" i="19"/>
  <c r="W461" i="6"/>
  <c r="H16" i="19" l="1"/>
  <c r="B7" i="15"/>
  <c r="I64" i="5"/>
  <c r="J6" i="14" l="1"/>
  <c r="C70" i="21"/>
  <c r="J64" i="5"/>
  <c r="F6" i="14" s="1"/>
  <c r="D9" i="26"/>
  <c r="A61" i="5"/>
  <c r="J5" i="5"/>
  <c r="J6" i="5"/>
  <c r="J7" i="5"/>
  <c r="J8" i="5"/>
  <c r="J9" i="5"/>
  <c r="J10" i="5"/>
  <c r="J11" i="5"/>
  <c r="J12" i="5"/>
  <c r="J13" i="5"/>
  <c r="J14" i="5"/>
  <c r="J15" i="5"/>
  <c r="J16" i="5"/>
  <c r="J17" i="5"/>
  <c r="J18" i="5"/>
  <c r="J19" i="5"/>
  <c r="J20" i="5"/>
  <c r="J21" i="5"/>
  <c r="J22" i="5"/>
  <c r="J23" i="5"/>
  <c r="J24" i="5"/>
  <c r="J25" i="5"/>
  <c r="J26" i="5"/>
  <c r="J27" i="5"/>
  <c r="J28" i="5"/>
  <c r="J29" i="5"/>
  <c r="J30" i="5"/>
  <c r="J31" i="5"/>
  <c r="J32" i="5"/>
  <c r="J33" i="5"/>
  <c r="J34" i="5"/>
  <c r="J35" i="5"/>
  <c r="J36" i="5"/>
  <c r="J37" i="5"/>
  <c r="J38" i="5"/>
  <c r="J39" i="5"/>
  <c r="J40" i="5"/>
  <c r="J41" i="5"/>
  <c r="J42" i="5"/>
  <c r="J43" i="5"/>
  <c r="J44" i="5"/>
  <c r="J45" i="5"/>
  <c r="J46" i="5"/>
  <c r="J47" i="5"/>
  <c r="J48" i="5"/>
  <c r="J50" i="5"/>
  <c r="J51" i="5"/>
  <c r="J52" i="5"/>
  <c r="J53" i="5"/>
  <c r="J54" i="5"/>
  <c r="J55" i="5"/>
  <c r="J56" i="5"/>
  <c r="J57" i="5"/>
  <c r="J58" i="5"/>
  <c r="J59" i="5"/>
  <c r="J60" i="5"/>
  <c r="J4" i="5"/>
  <c r="B6" i="14" l="1"/>
  <c r="C28" i="26"/>
  <c r="D28" i="26" s="1"/>
  <c r="C37" i="26"/>
  <c r="G6" i="14"/>
  <c r="D6" i="14"/>
  <c r="D37" i="26" l="1"/>
  <c r="C40" i="26"/>
  <c r="H6" i="14"/>
  <c r="J194" i="2"/>
  <c r="K6" i="14" l="1"/>
  <c r="Q194" i="2"/>
  <c r="J192" i="2"/>
  <c r="J191" i="2"/>
  <c r="J190" i="2"/>
  <c r="J189" i="2"/>
  <c r="J188" i="2"/>
  <c r="J187" i="2"/>
  <c r="J186" i="2"/>
  <c r="J185" i="2"/>
  <c r="J184" i="2"/>
  <c r="Z761" i="6"/>
  <c r="Q184" i="2" l="1"/>
  <c r="W799" i="6" l="1"/>
  <c r="W797" i="6"/>
  <c r="W786" i="6"/>
  <c r="W781" i="6"/>
  <c r="W780" i="6"/>
  <c r="W779" i="6"/>
  <c r="W769" i="6"/>
  <c r="W768" i="6"/>
  <c r="W767" i="6"/>
  <c r="W766" i="6"/>
  <c r="W765" i="6"/>
  <c r="W764" i="6"/>
  <c r="W763" i="6"/>
  <c r="W762" i="6"/>
  <c r="W761" i="6"/>
  <c r="W760" i="6"/>
  <c r="W759" i="6"/>
  <c r="W758" i="6"/>
  <c r="W757" i="6"/>
  <c r="W756" i="6"/>
  <c r="W755" i="6"/>
  <c r="W754" i="6"/>
  <c r="W753" i="6"/>
  <c r="W752" i="6"/>
  <c r="W751" i="6"/>
  <c r="W750" i="6"/>
  <c r="W749" i="6"/>
  <c r="W748" i="6"/>
  <c r="W747" i="6"/>
  <c r="W746" i="6"/>
  <c r="W745" i="6"/>
  <c r="W744" i="6"/>
  <c r="W743" i="6"/>
  <c r="W742" i="6"/>
  <c r="W741" i="6"/>
  <c r="W740" i="6"/>
  <c r="W739" i="6"/>
  <c r="W738" i="6"/>
  <c r="W737" i="6"/>
  <c r="W736" i="6"/>
  <c r="W735" i="6"/>
  <c r="W734" i="6"/>
  <c r="W733" i="6"/>
  <c r="W732" i="6"/>
  <c r="W731" i="6"/>
  <c r="W730" i="6"/>
  <c r="W729" i="6"/>
  <c r="W728" i="6"/>
  <c r="W727" i="6"/>
  <c r="W726" i="6"/>
  <c r="W725" i="6"/>
  <c r="W724" i="6"/>
  <c r="W723" i="6"/>
  <c r="W722" i="6"/>
  <c r="W721" i="6"/>
  <c r="W720" i="6"/>
  <c r="W719" i="6"/>
  <c r="W718" i="6"/>
  <c r="W717" i="6"/>
  <c r="W716" i="6"/>
  <c r="W715" i="6"/>
  <c r="W714" i="6"/>
  <c r="W713" i="6"/>
  <c r="W712" i="6"/>
  <c r="W711" i="6"/>
  <c r="W710" i="6"/>
  <c r="W709" i="6"/>
  <c r="W708" i="6"/>
  <c r="W707" i="6"/>
  <c r="W706" i="6"/>
  <c r="W705" i="6"/>
  <c r="W704" i="6"/>
  <c r="W703" i="6"/>
  <c r="W702" i="6"/>
  <c r="W701" i="6"/>
  <c r="W700" i="6"/>
  <c r="W699" i="6"/>
  <c r="W698" i="6"/>
  <c r="W697" i="6"/>
  <c r="W696" i="6"/>
  <c r="W695" i="6"/>
  <c r="W694" i="6"/>
  <c r="W693" i="6"/>
  <c r="W692" i="6"/>
  <c r="W691" i="6"/>
  <c r="W690" i="6"/>
  <c r="W689" i="6"/>
  <c r="W688" i="6"/>
  <c r="W687" i="6"/>
  <c r="W686" i="6"/>
  <c r="W685" i="6"/>
  <c r="W684" i="6"/>
  <c r="W683" i="6"/>
  <c r="W682" i="6"/>
  <c r="W681" i="6"/>
  <c r="W680" i="6"/>
  <c r="W679" i="6"/>
  <c r="W678" i="6"/>
  <c r="W677" i="6"/>
  <c r="W676" i="6"/>
  <c r="W675" i="6"/>
  <c r="W674" i="6"/>
  <c r="W673" i="6"/>
  <c r="W672" i="6"/>
  <c r="W671" i="6"/>
  <c r="W670" i="6"/>
  <c r="W669" i="6"/>
  <c r="W668" i="6"/>
  <c r="W667" i="6"/>
  <c r="W666" i="6"/>
  <c r="W665" i="6"/>
  <c r="W664" i="6"/>
  <c r="W663" i="6"/>
  <c r="W662" i="6"/>
  <c r="W661" i="6"/>
  <c r="W660" i="6"/>
  <c r="W659" i="6"/>
  <c r="W658" i="6"/>
  <c r="W657" i="6"/>
  <c r="W656" i="6"/>
  <c r="W655" i="6"/>
  <c r="W654" i="6"/>
  <c r="W653" i="6"/>
  <c r="W652" i="6"/>
  <c r="W651" i="6"/>
  <c r="W650" i="6"/>
  <c r="W649" i="6"/>
  <c r="W648" i="6"/>
  <c r="W647" i="6"/>
  <c r="W646" i="6"/>
  <c r="W645" i="6"/>
  <c r="W644" i="6"/>
  <c r="W643" i="6"/>
  <c r="W642" i="6"/>
  <c r="W641" i="6"/>
  <c r="W640" i="6"/>
  <c r="W639" i="6"/>
  <c r="W638" i="6"/>
  <c r="W637" i="6"/>
  <c r="W636" i="6"/>
  <c r="W635" i="6"/>
  <c r="W634" i="6"/>
  <c r="W633" i="6"/>
  <c r="W632" i="6"/>
  <c r="W631" i="6"/>
  <c r="W630" i="6"/>
  <c r="W629" i="6"/>
  <c r="W628" i="6"/>
  <c r="W627" i="6"/>
  <c r="W626" i="6"/>
  <c r="W625" i="6"/>
  <c r="W624" i="6"/>
  <c r="W623" i="6"/>
  <c r="W622" i="6"/>
  <c r="W621" i="6"/>
  <c r="W620" i="6"/>
  <c r="W619" i="6"/>
  <c r="W618" i="6"/>
  <c r="W617" i="6"/>
  <c r="W616" i="6"/>
  <c r="W615" i="6"/>
  <c r="W614" i="6"/>
  <c r="W613" i="6"/>
  <c r="W612" i="6"/>
  <c r="W611" i="6"/>
  <c r="W610" i="6"/>
  <c r="W609" i="6"/>
  <c r="W608" i="6"/>
  <c r="W607" i="6"/>
  <c r="W606" i="6"/>
  <c r="W605" i="6"/>
  <c r="W604" i="6"/>
  <c r="W603" i="6"/>
  <c r="W602" i="6"/>
  <c r="W601" i="6"/>
  <c r="W600" i="6"/>
  <c r="W599" i="6"/>
  <c r="W598" i="6"/>
  <c r="W597" i="6"/>
  <c r="W596" i="6"/>
  <c r="W595" i="6"/>
  <c r="W594" i="6"/>
  <c r="W593" i="6"/>
  <c r="W592" i="6"/>
  <c r="W591" i="6"/>
  <c r="W590" i="6"/>
  <c r="W589" i="6"/>
  <c r="W588" i="6"/>
  <c r="W587" i="6"/>
  <c r="W586" i="6"/>
  <c r="W585" i="6"/>
  <c r="W584" i="6"/>
  <c r="W583" i="6"/>
  <c r="W582" i="6"/>
  <c r="W581" i="6"/>
  <c r="W580" i="6"/>
  <c r="W579" i="6"/>
  <c r="Z578" i="6"/>
  <c r="W578" i="6"/>
  <c r="W577" i="6"/>
  <c r="W576" i="6"/>
  <c r="W575" i="6"/>
  <c r="W574" i="6"/>
  <c r="W573" i="6"/>
  <c r="W572" i="6"/>
  <c r="W571" i="6"/>
  <c r="W570" i="6"/>
  <c r="W569" i="6"/>
  <c r="W568" i="6"/>
  <c r="W567" i="6"/>
  <c r="W566" i="6"/>
  <c r="W565" i="6"/>
  <c r="W564" i="6"/>
  <c r="W562" i="6"/>
  <c r="W561" i="6"/>
  <c r="W560" i="6"/>
  <c r="W558" i="6"/>
  <c r="W557" i="6"/>
  <c r="W556" i="6"/>
  <c r="W555" i="6"/>
  <c r="W554" i="6"/>
  <c r="W553" i="6"/>
  <c r="W552" i="6"/>
  <c r="W551" i="6"/>
  <c r="Z550" i="6"/>
  <c r="W550" i="6"/>
  <c r="W542" i="6"/>
  <c r="W541" i="6"/>
  <c r="W540" i="6"/>
  <c r="W539" i="6"/>
  <c r="W538" i="6"/>
  <c r="W537" i="6"/>
  <c r="W536" i="6"/>
  <c r="W535" i="6"/>
  <c r="W534" i="6"/>
  <c r="W533" i="6"/>
  <c r="W532" i="6"/>
  <c r="W531" i="6"/>
  <c r="W529" i="6"/>
  <c r="W528" i="6"/>
  <c r="W527" i="6"/>
  <c r="W526" i="6"/>
  <c r="W525" i="6"/>
  <c r="W524" i="6"/>
  <c r="W523" i="6"/>
  <c r="W522" i="6"/>
  <c r="W521" i="6"/>
  <c r="W520" i="6"/>
  <c r="W519" i="6"/>
  <c r="W518" i="6"/>
  <c r="W517" i="6"/>
  <c r="W516" i="6"/>
  <c r="W515" i="6"/>
  <c r="W514" i="6"/>
  <c r="W513" i="6"/>
  <c r="W512" i="6"/>
  <c r="W510" i="6"/>
  <c r="W509" i="6"/>
  <c r="W508" i="6"/>
  <c r="W507" i="6"/>
  <c r="W506" i="6"/>
  <c r="W505" i="6"/>
  <c r="W504" i="6"/>
  <c r="W500" i="6"/>
  <c r="W498" i="6"/>
  <c r="W493" i="6"/>
  <c r="W489" i="6"/>
  <c r="W487" i="6"/>
  <c r="W486" i="6"/>
  <c r="W485" i="6"/>
  <c r="W484" i="6"/>
  <c r="W483" i="6"/>
  <c r="W482" i="6"/>
  <c r="W481" i="6"/>
  <c r="W480" i="6"/>
  <c r="W479" i="6"/>
  <c r="W478" i="6"/>
  <c r="W477" i="6"/>
  <c r="W475" i="6"/>
  <c r="W474" i="6"/>
  <c r="W473" i="6"/>
  <c r="W472" i="6"/>
  <c r="W471" i="6"/>
  <c r="W470" i="6"/>
  <c r="W469" i="6"/>
  <c r="W464" i="6"/>
  <c r="W463" i="6"/>
  <c r="W462" i="6"/>
  <c r="W459" i="6"/>
  <c r="W458" i="6"/>
  <c r="W457" i="6"/>
  <c r="W456" i="6"/>
  <c r="W455" i="6"/>
  <c r="W454" i="6"/>
  <c r="W453" i="6"/>
  <c r="W452" i="6"/>
  <c r="W451" i="6"/>
  <c r="W450" i="6"/>
  <c r="Z449" i="6"/>
  <c r="W449" i="6"/>
  <c r="W448" i="6"/>
  <c r="W447" i="6"/>
  <c r="W446" i="6"/>
  <c r="W445" i="6"/>
  <c r="W444" i="6"/>
  <c r="W443" i="6"/>
  <c r="W442" i="6"/>
  <c r="W441" i="6"/>
  <c r="W440" i="6"/>
  <c r="W439" i="6"/>
  <c r="W438" i="6"/>
  <c r="W437" i="6"/>
  <c r="W436" i="6"/>
  <c r="W435" i="6"/>
  <c r="W434" i="6"/>
  <c r="W433" i="6"/>
  <c r="W432" i="6"/>
  <c r="W431" i="6"/>
  <c r="W430" i="6"/>
  <c r="W429" i="6"/>
  <c r="W428" i="6"/>
  <c r="W427" i="6"/>
  <c r="W426" i="6"/>
  <c r="W425" i="6"/>
  <c r="Z424" i="6"/>
  <c r="W424" i="6"/>
  <c r="W423" i="6"/>
  <c r="W422" i="6"/>
  <c r="W421" i="6"/>
  <c r="W420" i="6"/>
  <c r="W419" i="6"/>
  <c r="W418" i="6"/>
  <c r="W417" i="6"/>
  <c r="W416" i="6"/>
  <c r="W415" i="6"/>
  <c r="W414" i="6"/>
  <c r="W413" i="6"/>
  <c r="W412" i="6"/>
  <c r="W411" i="6"/>
  <c r="W410" i="6"/>
  <c r="W409" i="6"/>
  <c r="W408" i="6"/>
  <c r="W407" i="6"/>
  <c r="W406" i="6"/>
  <c r="W405" i="6"/>
  <c r="W404" i="6"/>
  <c r="W403" i="6"/>
  <c r="W402" i="6"/>
  <c r="W401" i="6"/>
  <c r="W400" i="6"/>
  <c r="W399" i="6"/>
  <c r="W398" i="6"/>
  <c r="W397" i="6"/>
  <c r="W396" i="6"/>
  <c r="W395" i="6"/>
  <c r="W394" i="6"/>
  <c r="W393" i="6"/>
  <c r="W392" i="6"/>
  <c r="W391" i="6"/>
  <c r="W390" i="6"/>
  <c r="W389" i="6"/>
  <c r="W387" i="6"/>
  <c r="W386" i="6"/>
  <c r="W385" i="6"/>
  <c r="W384" i="6"/>
  <c r="W383" i="6"/>
  <c r="W382" i="6"/>
  <c r="W381" i="6"/>
  <c r="W380" i="6"/>
  <c r="W379" i="6"/>
  <c r="W378" i="6"/>
  <c r="W377" i="6"/>
  <c r="W376" i="6"/>
  <c r="W375" i="6"/>
  <c r="W374" i="6"/>
  <c r="W373" i="6"/>
  <c r="W372" i="6"/>
  <c r="W371" i="6"/>
  <c r="W370" i="6"/>
  <c r="W369" i="6"/>
  <c r="W368" i="6"/>
  <c r="W367" i="6"/>
  <c r="W366" i="6"/>
  <c r="W365" i="6"/>
  <c r="W364" i="6"/>
  <c r="W363" i="6"/>
  <c r="W362" i="6"/>
  <c r="W361" i="6"/>
  <c r="W360" i="6"/>
  <c r="W359" i="6"/>
  <c r="W358" i="6"/>
  <c r="W357" i="6"/>
  <c r="W356" i="6"/>
  <c r="W355" i="6"/>
  <c r="W354" i="6"/>
  <c r="W353" i="6"/>
  <c r="W352" i="6"/>
  <c r="W351" i="6"/>
  <c r="W350" i="6"/>
  <c r="W349" i="6"/>
  <c r="Z348" i="6"/>
  <c r="W348" i="6"/>
  <c r="W347" i="6"/>
  <c r="W346" i="6"/>
  <c r="W345" i="6"/>
  <c r="W344" i="6"/>
  <c r="W342" i="6"/>
  <c r="W341" i="6"/>
  <c r="W340" i="6"/>
  <c r="Z339" i="6"/>
  <c r="W339" i="6"/>
  <c r="W338" i="6"/>
  <c r="W337" i="6"/>
  <c r="W336" i="6"/>
  <c r="W335" i="6"/>
  <c r="W334" i="6"/>
  <c r="W333" i="6"/>
  <c r="W332" i="6"/>
  <c r="W331" i="6"/>
  <c r="W330" i="6"/>
  <c r="W329" i="6"/>
  <c r="W328" i="6"/>
  <c r="W327" i="6"/>
  <c r="W326" i="6"/>
  <c r="W325" i="6"/>
  <c r="W324" i="6"/>
  <c r="W323" i="6"/>
  <c r="W322" i="6"/>
  <c r="W321" i="6"/>
  <c r="W320" i="6"/>
  <c r="W319" i="6"/>
  <c r="W318" i="6"/>
  <c r="W317" i="6"/>
  <c r="W316" i="6"/>
  <c r="W315" i="6"/>
  <c r="W314" i="6"/>
  <c r="W313" i="6"/>
  <c r="W312" i="6"/>
  <c r="W311" i="6"/>
  <c r="W310" i="6"/>
  <c r="W309" i="6"/>
  <c r="W308" i="6"/>
  <c r="W307" i="6"/>
  <c r="W306" i="6"/>
  <c r="W305" i="6"/>
  <c r="W304" i="6"/>
  <c r="W303" i="6"/>
  <c r="W302" i="6"/>
  <c r="W300" i="6"/>
  <c r="W299" i="6"/>
  <c r="W298" i="6"/>
  <c r="W297" i="6"/>
  <c r="W296" i="6"/>
  <c r="W295" i="6"/>
  <c r="W294" i="6"/>
  <c r="W293" i="6"/>
  <c r="W292" i="6"/>
  <c r="W290" i="6"/>
  <c r="W289" i="6"/>
  <c r="W288" i="6"/>
  <c r="W287" i="6"/>
  <c r="W286" i="6"/>
  <c r="W285" i="6"/>
  <c r="W284" i="6"/>
  <c r="W283" i="6"/>
  <c r="W281" i="6"/>
  <c r="W279" i="6"/>
  <c r="W278" i="6"/>
  <c r="W277" i="6"/>
  <c r="W276" i="6"/>
  <c r="W275" i="6"/>
  <c r="W274" i="6"/>
  <c r="W273" i="6"/>
  <c r="W272" i="6"/>
  <c r="W271" i="6"/>
  <c r="W270" i="6"/>
  <c r="W269" i="6"/>
  <c r="W267" i="6"/>
  <c r="W266" i="6"/>
  <c r="W265" i="6"/>
  <c r="W264" i="6"/>
  <c r="W263" i="6"/>
  <c r="W262" i="6"/>
  <c r="W261" i="6"/>
  <c r="W260" i="6"/>
  <c r="W259" i="6"/>
  <c r="W258" i="6"/>
  <c r="W257" i="6"/>
  <c r="W256" i="6"/>
  <c r="W255" i="6"/>
  <c r="W254" i="6"/>
  <c r="W253" i="6"/>
  <c r="W252" i="6"/>
  <c r="W251" i="6"/>
  <c r="W250" i="6"/>
  <c r="W249" i="6"/>
  <c r="W248" i="6"/>
  <c r="W247" i="6"/>
  <c r="W246" i="6"/>
  <c r="Z245" i="6"/>
  <c r="W245" i="6"/>
  <c r="W244" i="6"/>
  <c r="W243" i="6"/>
  <c r="W242" i="6"/>
  <c r="W241" i="6"/>
  <c r="W240" i="6"/>
  <c r="W239" i="6"/>
  <c r="W238" i="6"/>
  <c r="W237" i="6"/>
  <c r="W236" i="6"/>
  <c r="W235" i="6"/>
  <c r="W234" i="6"/>
  <c r="W233" i="6"/>
  <c r="W232" i="6"/>
  <c r="W231" i="6"/>
  <c r="W230" i="6"/>
  <c r="W229" i="6"/>
  <c r="W228" i="6"/>
  <c r="W227" i="6"/>
  <c r="W226" i="6"/>
  <c r="W225" i="6"/>
  <c r="W224" i="6"/>
  <c r="W223" i="6"/>
  <c r="W222" i="6"/>
  <c r="W221" i="6"/>
  <c r="W220" i="6"/>
  <c r="W219" i="6"/>
  <c r="W218" i="6"/>
  <c r="W217" i="6"/>
  <c r="W216" i="6"/>
  <c r="W215" i="6"/>
  <c r="W214" i="6"/>
  <c r="W213" i="6"/>
  <c r="W212" i="6"/>
  <c r="W211" i="6"/>
  <c r="W210" i="6"/>
  <c r="W209" i="6"/>
  <c r="W208" i="6"/>
  <c r="W207" i="6"/>
  <c r="W206" i="6"/>
  <c r="W202" i="6"/>
  <c r="W200" i="6"/>
  <c r="W199" i="6"/>
  <c r="W192" i="6"/>
  <c r="W191" i="6"/>
  <c r="W190" i="6"/>
  <c r="W188" i="6"/>
  <c r="W187" i="6"/>
  <c r="W186" i="6"/>
  <c r="W185" i="6"/>
  <c r="Z184" i="6"/>
  <c r="W184" i="6"/>
  <c r="W183" i="6"/>
  <c r="W180" i="6"/>
  <c r="W179" i="6"/>
  <c r="W178" i="6"/>
  <c r="W177" i="6"/>
  <c r="W176" i="6"/>
  <c r="W175" i="6"/>
  <c r="W174" i="6"/>
  <c r="W173" i="6"/>
  <c r="W172" i="6"/>
  <c r="W171" i="6"/>
  <c r="W170" i="6"/>
  <c r="W169" i="6"/>
  <c r="W168" i="6"/>
  <c r="W167" i="6"/>
  <c r="W166" i="6"/>
  <c r="W165" i="6"/>
  <c r="W164" i="6"/>
  <c r="W163" i="6"/>
  <c r="W162" i="6"/>
  <c r="W161" i="6"/>
  <c r="W160" i="6"/>
  <c r="W159" i="6"/>
  <c r="W158" i="6"/>
  <c r="W156" i="6"/>
  <c r="W155" i="6"/>
  <c r="W154" i="6"/>
  <c r="W153" i="6"/>
  <c r="W152" i="6"/>
  <c r="W151" i="6"/>
  <c r="W150" i="6"/>
  <c r="W149" i="6"/>
  <c r="W148" i="6"/>
  <c r="W147" i="6"/>
  <c r="W146" i="6"/>
  <c r="W133" i="6"/>
  <c r="W144" i="6"/>
  <c r="W143" i="6"/>
  <c r="W142" i="6"/>
  <c r="W132" i="6"/>
  <c r="W131" i="6"/>
  <c r="W130" i="6"/>
  <c r="W127" i="6"/>
  <c r="W129" i="6"/>
  <c r="W128" i="6"/>
  <c r="W126" i="6"/>
  <c r="W141" i="6"/>
  <c r="W140" i="6"/>
  <c r="W139" i="6"/>
  <c r="W138" i="6"/>
  <c r="W137" i="6"/>
  <c r="W136" i="6"/>
  <c r="W135" i="6"/>
  <c r="W134" i="6"/>
  <c r="W125" i="6"/>
  <c r="W124" i="6"/>
  <c r="W123" i="6"/>
  <c r="W122" i="6"/>
  <c r="W121" i="6"/>
  <c r="W120" i="6"/>
  <c r="W119" i="6"/>
  <c r="W118" i="6"/>
  <c r="W117" i="6"/>
  <c r="W116" i="6"/>
  <c r="W115" i="6"/>
  <c r="W114" i="6"/>
  <c r="W113" i="6"/>
  <c r="W112" i="6"/>
  <c r="W111" i="6"/>
  <c r="W110" i="6"/>
  <c r="W109" i="6"/>
  <c r="W108" i="6"/>
  <c r="W107" i="6"/>
  <c r="W106" i="6"/>
  <c r="W105" i="6"/>
  <c r="W104" i="6"/>
  <c r="W103" i="6"/>
  <c r="W102" i="6"/>
  <c r="W101" i="6"/>
  <c r="W100" i="6"/>
  <c r="W99" i="6"/>
  <c r="W98" i="6"/>
  <c r="W97" i="6"/>
  <c r="W96" i="6"/>
  <c r="W95" i="6"/>
  <c r="W94" i="6"/>
  <c r="W93" i="6"/>
  <c r="W92" i="6"/>
  <c r="W91" i="6"/>
  <c r="W90" i="6"/>
  <c r="W89" i="6"/>
  <c r="W88" i="6"/>
  <c r="W87" i="6"/>
  <c r="W86" i="6"/>
  <c r="W85" i="6"/>
  <c r="W84" i="6"/>
  <c r="W83" i="6"/>
  <c r="W82" i="6"/>
  <c r="W81" i="6"/>
  <c r="W80" i="6"/>
  <c r="W79" i="6"/>
  <c r="W78" i="6"/>
  <c r="W77" i="6"/>
  <c r="W76" i="6"/>
  <c r="W75" i="6"/>
  <c r="W74" i="6"/>
  <c r="W73" i="6"/>
  <c r="W72" i="6"/>
  <c r="W71" i="6"/>
  <c r="W70" i="6"/>
  <c r="W69" i="6"/>
  <c r="W68" i="6"/>
  <c r="W67" i="6"/>
  <c r="W66" i="6"/>
  <c r="W58" i="6"/>
  <c r="W57" i="6"/>
  <c r="W56" i="6"/>
  <c r="W55" i="6"/>
  <c r="W54" i="6"/>
  <c r="W53" i="6"/>
  <c r="W52" i="6"/>
  <c r="W51" i="6"/>
  <c r="W47" i="6"/>
  <c r="W46" i="6"/>
  <c r="W44" i="6"/>
  <c r="W42" i="6"/>
  <c r="W40" i="6"/>
  <c r="W39" i="6"/>
  <c r="W38" i="6"/>
  <c r="W36" i="6"/>
  <c r="W35" i="6"/>
  <c r="W34" i="6"/>
  <c r="W33" i="6"/>
  <c r="W32" i="6"/>
  <c r="W31" i="6"/>
  <c r="W30" i="6"/>
  <c r="W29" i="6"/>
  <c r="W28" i="6"/>
  <c r="W27" i="6"/>
  <c r="W26" i="6"/>
  <c r="W25" i="6"/>
  <c r="W24" i="6"/>
  <c r="V23" i="6"/>
  <c r="W23" i="6" s="1"/>
  <c r="V22" i="6"/>
  <c r="U22" i="6"/>
  <c r="V21" i="6"/>
  <c r="U21" i="6"/>
  <c r="V20" i="6"/>
  <c r="W20" i="6" s="1"/>
  <c r="W19" i="6"/>
  <c r="W18" i="6"/>
  <c r="W17" i="6"/>
  <c r="W16" i="6"/>
  <c r="W15" i="6"/>
  <c r="W14" i="6"/>
  <c r="W13" i="6"/>
  <c r="W12" i="6"/>
  <c r="W11" i="6"/>
  <c r="T10" i="6"/>
  <c r="W10" i="6" s="1"/>
  <c r="W9" i="6"/>
  <c r="T8" i="6"/>
  <c r="W8" i="6" s="1"/>
  <c r="W7" i="6"/>
  <c r="V6" i="6"/>
  <c r="U6" i="6"/>
  <c r="U5" i="6"/>
  <c r="T5" i="6"/>
  <c r="Z4" i="6"/>
  <c r="W4" i="6"/>
  <c r="W5" i="6" l="1"/>
  <c r="W22" i="6"/>
  <c r="W21" i="6"/>
  <c r="W6" i="6"/>
  <c r="BD11" i="25" l="1"/>
  <c r="BC38" i="25" s="1"/>
  <c r="Z269" i="6"/>
  <c r="Z779" i="6"/>
  <c r="BF38" i="25" l="1"/>
  <c r="BF41" i="25" s="1"/>
  <c r="BC41" i="25"/>
  <c r="BC29" i="25"/>
  <c r="BF29" i="25" s="1"/>
  <c r="D22" i="25"/>
  <c r="D23" i="25"/>
  <c r="D24" i="25"/>
  <c r="D25" i="25"/>
  <c r="D4" i="25"/>
  <c r="C30" i="25" s="1"/>
  <c r="D15" i="25"/>
  <c r="D10" i="25"/>
  <c r="D16" i="25"/>
  <c r="D17" i="25"/>
  <c r="D5" i="25"/>
  <c r="D13" i="25"/>
  <c r="D14" i="25"/>
  <c r="D6" i="25"/>
  <c r="D20" i="25"/>
  <c r="D21" i="25"/>
  <c r="D18" i="25"/>
  <c r="D19" i="25"/>
  <c r="D11" i="25"/>
  <c r="D7" i="25"/>
  <c r="D12" i="25"/>
  <c r="C38" i="25" l="1"/>
  <c r="G38" i="25" s="1"/>
  <c r="C31" i="25"/>
  <c r="G31" i="25" s="1"/>
  <c r="C39" i="25"/>
  <c r="G39" i="25" s="1"/>
  <c r="C33" i="25"/>
  <c r="G33" i="25" s="1"/>
  <c r="G30" i="25"/>
  <c r="C29" i="25"/>
  <c r="G29" i="25" s="1"/>
  <c r="G41" i="25" l="1"/>
  <c r="C41" i="25"/>
  <c r="Z208" i="6" l="1"/>
  <c r="Z38" i="25"/>
  <c r="AA38" i="25" l="1"/>
  <c r="Z41" i="25"/>
  <c r="A244" i="6"/>
  <c r="Z29" i="25" l="1"/>
  <c r="AA29" i="25" s="1"/>
  <c r="Z146" i="6"/>
  <c r="S38" i="25" l="1"/>
  <c r="U38" i="25" s="1"/>
  <c r="L31" i="25"/>
  <c r="Z79" i="6"/>
  <c r="L38" i="25" l="1"/>
  <c r="S30" i="25"/>
  <c r="S39" i="25"/>
  <c r="S33" i="25"/>
  <c r="A105" i="6"/>
  <c r="L33" i="25" l="1"/>
  <c r="S41" i="25"/>
  <c r="S29" i="25"/>
  <c r="L30" i="25"/>
  <c r="L29" i="25"/>
  <c r="L39" i="25"/>
  <c r="L41" i="25" l="1"/>
  <c r="J5" i="2" l="1"/>
  <c r="J4" i="2"/>
  <c r="J165" i="2"/>
  <c r="J166" i="2"/>
  <c r="J167" i="2"/>
  <c r="J168" i="2"/>
  <c r="J169" i="2"/>
  <c r="J170" i="2"/>
  <c r="J171" i="2"/>
  <c r="J172" i="2"/>
  <c r="J173" i="2"/>
  <c r="J174" i="2"/>
  <c r="J175" i="2"/>
  <c r="J176" i="2"/>
  <c r="J177" i="2"/>
  <c r="J178" i="2"/>
  <c r="J179" i="2"/>
  <c r="J180" i="2"/>
  <c r="J181" i="2"/>
  <c r="J182" i="2"/>
  <c r="J164" i="2"/>
  <c r="J163" i="2"/>
  <c r="J162" i="2"/>
  <c r="J146" i="2"/>
  <c r="J147" i="2"/>
  <c r="J148" i="2"/>
  <c r="J149" i="2"/>
  <c r="J150" i="2"/>
  <c r="J151" i="2"/>
  <c r="J152" i="2"/>
  <c r="J153" i="2"/>
  <c r="J154" i="2"/>
  <c r="J155" i="2"/>
  <c r="J156" i="2"/>
  <c r="J157" i="2"/>
  <c r="J158" i="2"/>
  <c r="J159" i="2"/>
  <c r="J160" i="2"/>
  <c r="J161" i="2"/>
  <c r="J145" i="2"/>
  <c r="J144" i="2"/>
  <c r="J143" i="2"/>
  <c r="J131" i="2"/>
  <c r="J132" i="2"/>
  <c r="J133" i="2"/>
  <c r="J134" i="2"/>
  <c r="J135" i="2"/>
  <c r="J136" i="2"/>
  <c r="J137" i="2"/>
  <c r="J138" i="2"/>
  <c r="J139" i="2"/>
  <c r="J140" i="2"/>
  <c r="J141" i="2"/>
  <c r="J142" i="2"/>
  <c r="J130" i="2"/>
  <c r="J129" i="2"/>
  <c r="J128" i="2"/>
  <c r="J118" i="2"/>
  <c r="J119" i="2"/>
  <c r="J120" i="2"/>
  <c r="J121" i="2"/>
  <c r="J122" i="2"/>
  <c r="J123" i="2"/>
  <c r="J124" i="2"/>
  <c r="J125" i="2"/>
  <c r="J126" i="2"/>
  <c r="J127" i="2"/>
  <c r="J117" i="2"/>
  <c r="J116" i="2"/>
  <c r="J115" i="2"/>
  <c r="J102" i="2"/>
  <c r="J100" i="2"/>
  <c r="J99" i="2"/>
  <c r="J104" i="2"/>
  <c r="J101" i="2"/>
  <c r="J106" i="2"/>
  <c r="J107" i="2"/>
  <c r="J108" i="2"/>
  <c r="J109" i="2"/>
  <c r="J110" i="2"/>
  <c r="J111" i="2"/>
  <c r="J112" i="2"/>
  <c r="J113" i="2"/>
  <c r="J114" i="2"/>
  <c r="J103" i="2"/>
  <c r="J105" i="2"/>
  <c r="J98" i="2"/>
  <c r="J82" i="2"/>
  <c r="J83" i="2"/>
  <c r="J84" i="2"/>
  <c r="J85" i="2"/>
  <c r="J86" i="2"/>
  <c r="J87" i="2"/>
  <c r="J88" i="2"/>
  <c r="J89" i="2"/>
  <c r="J90" i="2"/>
  <c r="J91" i="2"/>
  <c r="J92" i="2"/>
  <c r="J93" i="2"/>
  <c r="J94" i="2"/>
  <c r="J95" i="2"/>
  <c r="J96" i="2"/>
  <c r="J97" i="2"/>
  <c r="J81" i="2"/>
  <c r="J80" i="2"/>
  <c r="J18" i="2"/>
  <c r="J8" i="2"/>
  <c r="J9" i="2"/>
  <c r="J10" i="2"/>
  <c r="J11" i="2"/>
  <c r="J12" i="2"/>
  <c r="J13" i="2"/>
  <c r="J14" i="2"/>
  <c r="J15" i="2"/>
  <c r="J16" i="2"/>
  <c r="J17" i="2"/>
  <c r="J7" i="2"/>
  <c r="J6" i="2"/>
  <c r="J51" i="2"/>
  <c r="J31" i="2"/>
  <c r="J32" i="2"/>
  <c r="J33" i="2"/>
  <c r="J34" i="2"/>
  <c r="J35" i="2"/>
  <c r="J36" i="2"/>
  <c r="J37" i="2"/>
  <c r="J38" i="2"/>
  <c r="J39" i="2"/>
  <c r="J40" i="2"/>
  <c r="J41" i="2"/>
  <c r="J42" i="2"/>
  <c r="J43" i="2"/>
  <c r="J44" i="2"/>
  <c r="J45" i="2"/>
  <c r="J46" i="2"/>
  <c r="J47" i="2"/>
  <c r="J48" i="2"/>
  <c r="J49" i="2"/>
  <c r="J50" i="2"/>
  <c r="J30" i="2"/>
  <c r="J29" i="2"/>
  <c r="J79" i="2"/>
  <c r="J74" i="2"/>
  <c r="J75" i="2"/>
  <c r="J76" i="2"/>
  <c r="J77" i="2"/>
  <c r="J78" i="2"/>
  <c r="J73" i="2"/>
  <c r="J72" i="2"/>
  <c r="J28" i="2"/>
  <c r="J21" i="2"/>
  <c r="J22" i="2"/>
  <c r="J23" i="2"/>
  <c r="J24" i="2"/>
  <c r="J25" i="2"/>
  <c r="J26" i="2"/>
  <c r="J27" i="2"/>
  <c r="J20" i="2"/>
  <c r="J19" i="2"/>
  <c r="J58" i="2"/>
  <c r="J54" i="2"/>
  <c r="J55" i="2"/>
  <c r="J56" i="2"/>
  <c r="J57" i="2"/>
  <c r="J53" i="2"/>
  <c r="J52" i="2"/>
  <c r="J71" i="2"/>
  <c r="J64" i="2"/>
  <c r="J61" i="2"/>
  <c r="J60" i="2"/>
  <c r="J59" i="2"/>
  <c r="J67" i="2"/>
  <c r="J68" i="2"/>
  <c r="J69" i="2"/>
  <c r="J70" i="2"/>
  <c r="J143" i="1"/>
  <c r="J142" i="1"/>
  <c r="J137" i="1"/>
  <c r="J138" i="1"/>
  <c r="E8" i="11" s="1"/>
  <c r="J139" i="1"/>
  <c r="J140" i="1"/>
  <c r="J141" i="1"/>
  <c r="J136" i="1"/>
  <c r="C8" i="11" s="1"/>
  <c r="J135" i="1"/>
  <c r="J79" i="1"/>
  <c r="J39" i="1"/>
  <c r="J40" i="1"/>
  <c r="J41" i="1"/>
  <c r="J42" i="1"/>
  <c r="J43" i="1"/>
  <c r="J44" i="1"/>
  <c r="J45" i="1"/>
  <c r="J46" i="1"/>
  <c r="J65" i="1"/>
  <c r="J66" i="1"/>
  <c r="J80" i="1"/>
  <c r="J81" i="1"/>
  <c r="J82" i="1"/>
  <c r="J83" i="1"/>
  <c r="J84" i="1"/>
  <c r="J85" i="1"/>
  <c r="J86" i="1"/>
  <c r="J47" i="1"/>
  <c r="J48" i="1"/>
  <c r="J49" i="1"/>
  <c r="J50" i="1"/>
  <c r="J51" i="1"/>
  <c r="J90" i="1"/>
  <c r="J91" i="1"/>
  <c r="J92" i="1"/>
  <c r="J93" i="1"/>
  <c r="J94" i="1"/>
  <c r="J95" i="1"/>
  <c r="J96" i="1"/>
  <c r="J97" i="1"/>
  <c r="J98" i="1"/>
  <c r="J99" i="1"/>
  <c r="J52" i="1"/>
  <c r="J53" i="1"/>
  <c r="B7" i="11" s="1"/>
  <c r="J54" i="1"/>
  <c r="J87" i="1"/>
  <c r="J55" i="1"/>
  <c r="J56" i="1"/>
  <c r="J57" i="1"/>
  <c r="J58" i="1"/>
  <c r="J59" i="1"/>
  <c r="J60" i="1"/>
  <c r="J61" i="1"/>
  <c r="J62" i="1"/>
  <c r="J63" i="1"/>
  <c r="J64" i="1"/>
  <c r="J16" i="1"/>
  <c r="E7" i="11" s="1"/>
  <c r="J19" i="1"/>
  <c r="J21" i="1"/>
  <c r="J23" i="1"/>
  <c r="J24" i="1"/>
  <c r="J25" i="1"/>
  <c r="J88" i="1"/>
  <c r="J89" i="1"/>
  <c r="J100" i="1"/>
  <c r="J67" i="1"/>
  <c r="J18" i="1"/>
  <c r="J22" i="1"/>
  <c r="J101" i="1"/>
  <c r="J102" i="1"/>
  <c r="J103" i="1"/>
  <c r="J104" i="1"/>
  <c r="J105" i="1"/>
  <c r="J106" i="1"/>
  <c r="J107" i="1"/>
  <c r="J108" i="1"/>
  <c r="J68" i="1"/>
  <c r="J69" i="1"/>
  <c r="J70" i="1"/>
  <c r="J71" i="1"/>
  <c r="J72" i="1"/>
  <c r="J73" i="1"/>
  <c r="J74" i="1"/>
  <c r="J75" i="1"/>
  <c r="J76" i="1"/>
  <c r="J77" i="1"/>
  <c r="J20" i="1"/>
  <c r="J114" i="1"/>
  <c r="J115" i="1"/>
  <c r="J116" i="1"/>
  <c r="J117" i="1"/>
  <c r="J27" i="1"/>
  <c r="J32" i="1"/>
  <c r="J78" i="1"/>
  <c r="J36" i="1"/>
  <c r="F7" i="11" s="1"/>
  <c r="J38" i="1"/>
  <c r="J37" i="1"/>
  <c r="J133" i="1"/>
  <c r="J121" i="1"/>
  <c r="J122" i="1"/>
  <c r="J123" i="1"/>
  <c r="J124" i="1"/>
  <c r="J125" i="1"/>
  <c r="J126" i="1"/>
  <c r="J128" i="1"/>
  <c r="B6" i="11" s="1"/>
  <c r="J129" i="1"/>
  <c r="J130" i="1"/>
  <c r="J134" i="1"/>
  <c r="J131" i="1"/>
  <c r="J132" i="1"/>
  <c r="J120" i="1"/>
  <c r="J119" i="1"/>
  <c r="D6" i="11" s="1"/>
  <c r="J118" i="1"/>
  <c r="J29" i="1"/>
  <c r="J6" i="1"/>
  <c r="J7" i="1"/>
  <c r="J8" i="1"/>
  <c r="J9" i="1"/>
  <c r="J10" i="1"/>
  <c r="J11" i="1"/>
  <c r="J12" i="1"/>
  <c r="J13" i="1"/>
  <c r="J14" i="1"/>
  <c r="J17" i="1"/>
  <c r="J26" i="1"/>
  <c r="J28" i="1"/>
  <c r="J30" i="1"/>
  <c r="J109" i="1"/>
  <c r="J110" i="1"/>
  <c r="J111" i="1"/>
  <c r="J112" i="1"/>
  <c r="J113" i="1"/>
  <c r="J31" i="1"/>
  <c r="J33" i="1"/>
  <c r="J34" i="1"/>
  <c r="J5" i="1"/>
  <c r="J4" i="1"/>
  <c r="F8" i="11" l="1"/>
  <c r="K8" i="11"/>
  <c r="C7" i="11"/>
  <c r="H6" i="11"/>
  <c r="Q62" i="2"/>
  <c r="Q52" i="2"/>
  <c r="Q6" i="2"/>
  <c r="Q4" i="2"/>
  <c r="Q19" i="2"/>
  <c r="Q72" i="2"/>
  <c r="Q29" i="2"/>
  <c r="G6" i="11"/>
  <c r="Q229" i="1"/>
  <c r="Q240" i="1"/>
  <c r="G8" i="11"/>
  <c r="D16" i="12" l="1"/>
  <c r="D7" i="19" s="1"/>
  <c r="D27" i="19" s="1"/>
  <c r="I8" i="11"/>
  <c r="L8" i="11" s="1"/>
  <c r="E10" i="11"/>
  <c r="E16" i="12"/>
  <c r="D8" i="19" s="1"/>
  <c r="D28" i="19" s="1"/>
  <c r="G16" i="12"/>
  <c r="D10" i="19" s="1"/>
  <c r="D30" i="19" s="1"/>
  <c r="B16" i="12"/>
  <c r="D6" i="19" s="1"/>
  <c r="C16" i="12"/>
  <c r="C10" i="11"/>
  <c r="B10" i="11"/>
  <c r="T33" i="25"/>
  <c r="U33" i="25" s="1"/>
  <c r="D26" i="19" l="1"/>
  <c r="C48" i="19"/>
  <c r="H48" i="19" s="1"/>
  <c r="C8" i="19"/>
  <c r="C28" i="19"/>
  <c r="H28" i="19" s="1"/>
  <c r="C26" i="19"/>
  <c r="C46" i="19"/>
  <c r="C6" i="19"/>
  <c r="T39" i="25"/>
  <c r="U39" i="25" s="1"/>
  <c r="Z125" i="6"/>
  <c r="E25" i="7"/>
  <c r="E8" i="19" s="1"/>
  <c r="Z66" i="6"/>
  <c r="H8" i="19" l="1"/>
  <c r="H26" i="19"/>
  <c r="H46" i="19"/>
  <c r="M31" i="25"/>
  <c r="M30" i="25"/>
  <c r="F25" i="7"/>
  <c r="E9" i="19" s="1"/>
  <c r="G25" i="7"/>
  <c r="E10" i="19" s="1"/>
  <c r="D25" i="7"/>
  <c r="E7" i="19" s="1"/>
  <c r="B25" i="7"/>
  <c r="C25" i="7"/>
  <c r="I183" i="2"/>
  <c r="E6" i="19" l="1"/>
  <c r="AM11" i="32"/>
  <c r="AH11" i="29"/>
  <c r="C68" i="21"/>
  <c r="AM13" i="32"/>
  <c r="AH13" i="29"/>
  <c r="M38" i="25"/>
  <c r="N38" i="25" s="1"/>
  <c r="B183" i="2"/>
  <c r="N30" i="25"/>
  <c r="N31" i="25"/>
  <c r="M33" i="25"/>
  <c r="N33" i="25" s="1"/>
  <c r="M39" i="25"/>
  <c r="N39" i="25" s="1"/>
  <c r="T30" i="25"/>
  <c r="T41" i="25" s="1"/>
  <c r="T29" i="25"/>
  <c r="U29" i="25" s="1"/>
  <c r="M29" i="25"/>
  <c r="N29" i="25" s="1"/>
  <c r="J183" i="2"/>
  <c r="E11" i="19" l="1"/>
  <c r="D6" i="15" s="1"/>
  <c r="D20" i="15" s="1"/>
  <c r="H6" i="19"/>
  <c r="H25" i="7"/>
  <c r="AL40" i="32"/>
  <c r="AL31" i="32"/>
  <c r="AM31" i="32" s="1"/>
  <c r="AG40" i="29"/>
  <c r="AG31" i="29"/>
  <c r="AH31" i="29" s="1"/>
  <c r="N41" i="25"/>
  <c r="M41" i="25"/>
  <c r="U31" i="25"/>
  <c r="U30" i="25"/>
  <c r="Q80" i="2"/>
  <c r="I127" i="1"/>
  <c r="C69" i="21" s="1"/>
  <c r="AM40" i="32" l="1"/>
  <c r="AM43" i="32" s="1"/>
  <c r="AL43" i="32"/>
  <c r="Q119" i="1"/>
  <c r="D9" i="31"/>
  <c r="I9" i="27"/>
  <c r="A134" i="1"/>
  <c r="U41" i="25"/>
  <c r="AH40" i="29"/>
  <c r="AH43" i="29" s="1"/>
  <c r="AG43" i="29"/>
  <c r="F16" i="12"/>
  <c r="D9" i="19" s="1"/>
  <c r="J127" i="1"/>
  <c r="K6" i="11" s="1"/>
  <c r="I15" i="1"/>
  <c r="C77" i="21" s="1"/>
  <c r="I35" i="1"/>
  <c r="C49" i="21" s="1"/>
  <c r="D29" i="19" l="1"/>
  <c r="D31" i="19" s="1"/>
  <c r="C30" i="15" s="1"/>
  <c r="D11" i="19"/>
  <c r="C6" i="15" s="1"/>
  <c r="I16" i="12"/>
  <c r="I29" i="27"/>
  <c r="H40" i="27"/>
  <c r="H31" i="27"/>
  <c r="I31" i="27" s="1"/>
  <c r="S12" i="21"/>
  <c r="D15" i="27"/>
  <c r="C41" i="27" s="1"/>
  <c r="D41" i="27" s="1"/>
  <c r="D8" i="27"/>
  <c r="A117" i="1"/>
  <c r="C40" i="31"/>
  <c r="D29" i="31"/>
  <c r="C31" i="31"/>
  <c r="D31" i="31" s="1"/>
  <c r="Q4" i="1"/>
  <c r="F6" i="11"/>
  <c r="J15" i="1"/>
  <c r="J35" i="1"/>
  <c r="H7" i="11" s="1"/>
  <c r="G7" i="11" l="1"/>
  <c r="K7" i="11"/>
  <c r="D40" i="31"/>
  <c r="C43" i="31"/>
  <c r="C31" i="27"/>
  <c r="D31" i="27" s="1"/>
  <c r="C35" i="27"/>
  <c r="I40" i="27"/>
  <c r="H43" i="27"/>
  <c r="I6" i="11"/>
  <c r="L6" i="11" s="1"/>
  <c r="F10" i="11"/>
  <c r="J144" i="1"/>
  <c r="Q135" i="1" s="1"/>
  <c r="Q246" i="1" s="1"/>
  <c r="C29" i="19" l="1"/>
  <c r="H29" i="19" s="1"/>
  <c r="C49" i="19"/>
  <c r="H49" i="19" s="1"/>
  <c r="C9" i="19"/>
  <c r="H9" i="19" s="1"/>
  <c r="G10" i="11"/>
  <c r="I7" i="11"/>
  <c r="D35" i="27"/>
  <c r="C43" i="27"/>
  <c r="D10" i="11"/>
  <c r="L7" i="11"/>
  <c r="H10" i="11"/>
  <c r="C47" i="19" l="1"/>
  <c r="C7" i="19"/>
  <c r="C27" i="19"/>
  <c r="C30" i="19"/>
  <c r="H30" i="19" s="1"/>
  <c r="C50" i="19"/>
  <c r="H50" i="19" s="1"/>
  <c r="C10" i="19"/>
  <c r="H10" i="19" s="1"/>
  <c r="C17" i="19"/>
  <c r="H17" i="19" s="1"/>
  <c r="C37" i="19"/>
  <c r="H37" i="19" s="1"/>
  <c r="C57" i="19"/>
  <c r="H57" i="19" s="1"/>
  <c r="I10" i="11"/>
  <c r="H27" i="19" l="1"/>
  <c r="H31" i="19" s="1"/>
  <c r="C31" i="19"/>
  <c r="H7" i="19"/>
  <c r="C11" i="19"/>
  <c r="H11" i="19" s="1"/>
  <c r="H47" i="19"/>
  <c r="H51" i="19" s="1"/>
  <c r="C51" i="19"/>
  <c r="B13" i="15"/>
  <c r="B6" i="15" l="1"/>
  <c r="B20" i="15" l="1"/>
  <c r="AA41" i="25"/>
  <c r="AL41" i="25"/>
  <c r="B23" i="15"/>
  <c r="D23" i="15"/>
  <c r="H19" i="19"/>
</calcChain>
</file>

<file path=xl/sharedStrings.xml><?xml version="1.0" encoding="utf-8"?>
<sst xmlns="http://schemas.openxmlformats.org/spreadsheetml/2006/main" count="23078" uniqueCount="2526">
  <si>
    <t>ÁREA INTERNA</t>
  </si>
  <si>
    <t>ÁREA (m²)</t>
  </si>
  <si>
    <t>BIOTÉRIO</t>
  </si>
  <si>
    <t>BIBLIOTECA</t>
  </si>
  <si>
    <t>ALMOXARIFADO</t>
  </si>
  <si>
    <t>A111</t>
  </si>
  <si>
    <t>A112</t>
  </si>
  <si>
    <t>A205</t>
  </si>
  <si>
    <t>A207</t>
  </si>
  <si>
    <t>A210</t>
  </si>
  <si>
    <t>A208</t>
  </si>
  <si>
    <t>A209</t>
  </si>
  <si>
    <t>A113</t>
  </si>
  <si>
    <t>A103</t>
  </si>
  <si>
    <t>OSSÁRIO</t>
  </si>
  <si>
    <t>VELÓRIO</t>
  </si>
  <si>
    <t>SVO</t>
  </si>
  <si>
    <t>ANFITEATRO AUTÓPSIA</t>
  </si>
  <si>
    <t>SALA DE CIRURGIA EXPERIMENTAL</t>
  </si>
  <si>
    <t>LABORATÓRIO DE ENTOLOMOGIA</t>
  </si>
  <si>
    <t>SALA DE ESTERILIZAÇÃO</t>
  </si>
  <si>
    <t xml:space="preserve">BIOTÉRIO HAMSTER E RATOS </t>
  </si>
  <si>
    <t>BIOTÉRIO COELHOS</t>
  </si>
  <si>
    <t>FREEZER</t>
  </si>
  <si>
    <t>BAIA CARNEIROS</t>
  </si>
  <si>
    <t>CANIL</t>
  </si>
  <si>
    <t>SOLÁRIO</t>
  </si>
  <si>
    <t>DML</t>
  </si>
  <si>
    <t>W.C./SALA DIRETOR</t>
  </si>
  <si>
    <t>SALA DIRETOR</t>
  </si>
  <si>
    <t>SALA PROFESSOR</t>
  </si>
  <si>
    <t>SECRETARIA</t>
  </si>
  <si>
    <t>SALA DOS PATOLOGISTAS</t>
  </si>
  <si>
    <t>COPA</t>
  </si>
  <si>
    <t>RESTAURANTE</t>
  </si>
  <si>
    <t>DEPÓSITO DE RAÇÃO</t>
  </si>
  <si>
    <t>PAVIMENTO</t>
  </si>
  <si>
    <t>GABINETE PROGEP</t>
  </si>
  <si>
    <t>A101</t>
  </si>
  <si>
    <t>PROGEP</t>
  </si>
  <si>
    <t>A102</t>
  </si>
  <si>
    <t>A102A</t>
  </si>
  <si>
    <t>A102B</t>
  </si>
  <si>
    <t>A104A</t>
  </si>
  <si>
    <t>GABINETE DIRETORIA</t>
  </si>
  <si>
    <t>A104B</t>
  </si>
  <si>
    <t>DIRETORIA DA FACULDADE</t>
  </si>
  <si>
    <t>A104C</t>
  </si>
  <si>
    <t>ACERVO DE DOCUMENTOS</t>
  </si>
  <si>
    <t>A104D</t>
  </si>
  <si>
    <t>A109</t>
  </si>
  <si>
    <t>A114</t>
  </si>
  <si>
    <t>TECNOLOGIA DA INFORMAÇÃO</t>
  </si>
  <si>
    <t>B112</t>
  </si>
  <si>
    <t>B114</t>
  </si>
  <si>
    <t>SEDOP</t>
  </si>
  <si>
    <t>A201</t>
  </si>
  <si>
    <t>SALA DE REUNIÕES</t>
  </si>
  <si>
    <t>A206</t>
  </si>
  <si>
    <t>DIVISÃO DE CAPACITAÇÃO</t>
  </si>
  <si>
    <t>B201</t>
  </si>
  <si>
    <t>DIVISÃO DE AVALIAÇÃO DE DESEMPENHO</t>
  </si>
  <si>
    <t>B202</t>
  </si>
  <si>
    <t>AMBIENTE PROF. I</t>
  </si>
  <si>
    <t>B203</t>
  </si>
  <si>
    <t>NÚCLEO PG</t>
  </si>
  <si>
    <t>B204</t>
  </si>
  <si>
    <t>GABINETE PROF.</t>
  </si>
  <si>
    <t>B208</t>
  </si>
  <si>
    <t>USO</t>
  </si>
  <si>
    <t>EDIFICAÇÃO</t>
  </si>
  <si>
    <t>Nº da Sala</t>
  </si>
  <si>
    <t>CCM/NAES</t>
  </si>
  <si>
    <t>CEP/CEUA</t>
  </si>
  <si>
    <t>NOME</t>
  </si>
  <si>
    <t>ÁREA ÚTIL (m²)</t>
  </si>
  <si>
    <t>Sala de aula</t>
  </si>
  <si>
    <t>Inferior</t>
  </si>
  <si>
    <t>Superior</t>
  </si>
  <si>
    <t>Prédio Principal</t>
  </si>
  <si>
    <t>SALA VIDEOCONFERÊNCIA</t>
  </si>
  <si>
    <t>A110</t>
  </si>
  <si>
    <t>SALA DE APOIO I</t>
  </si>
  <si>
    <t>A202</t>
  </si>
  <si>
    <t>A204</t>
  </si>
  <si>
    <t>SALA DE APOIO II</t>
  </si>
  <si>
    <t>SALA DE APOIO III</t>
  </si>
  <si>
    <t>A211</t>
  </si>
  <si>
    <t>A203-4</t>
  </si>
  <si>
    <t>A203-6</t>
  </si>
  <si>
    <t>SALA DE APOIO IV</t>
  </si>
  <si>
    <t>SALA DE APOIO V</t>
  </si>
  <si>
    <t>SALA DE AULA</t>
  </si>
  <si>
    <t>A106</t>
  </si>
  <si>
    <t>DEPÓSITO</t>
  </si>
  <si>
    <t>A107</t>
  </si>
  <si>
    <t>A117</t>
  </si>
  <si>
    <t>B117</t>
  </si>
  <si>
    <t>MANUTENÇÃO</t>
  </si>
  <si>
    <t>A121</t>
  </si>
  <si>
    <t>-</t>
  </si>
  <si>
    <t>A122</t>
  </si>
  <si>
    <t>A123</t>
  </si>
  <si>
    <t>ARQUIVO</t>
  </si>
  <si>
    <t>A203-1</t>
  </si>
  <si>
    <t>A203-5</t>
  </si>
  <si>
    <t>DEPÓSITO/AMBIENTE CLÍNICO</t>
  </si>
  <si>
    <t xml:space="preserve"> A203</t>
  </si>
  <si>
    <t>AUDITÓRIO</t>
  </si>
  <si>
    <t>Biblioteca</t>
  </si>
  <si>
    <t>Auditório</t>
  </si>
  <si>
    <t>A212</t>
  </si>
  <si>
    <t>A118</t>
  </si>
  <si>
    <t>Restaurante</t>
  </si>
  <si>
    <t>SALA DE COLETA</t>
  </si>
  <si>
    <t>B101</t>
  </si>
  <si>
    <t>AMBULATÓRIO 1</t>
  </si>
  <si>
    <t>B102</t>
  </si>
  <si>
    <t>AMBULATÓRIO 2</t>
  </si>
  <si>
    <t>B103</t>
  </si>
  <si>
    <t>AMBULATÓRIO 3</t>
  </si>
  <si>
    <t>B104</t>
  </si>
  <si>
    <t>AMBULATÓRIO 4</t>
  </si>
  <si>
    <t>B108</t>
  </si>
  <si>
    <t>AMBULATÓRIO 5</t>
  </si>
  <si>
    <t>B110</t>
  </si>
  <si>
    <t>AMBULATÓRIO 6</t>
  </si>
  <si>
    <t>B115</t>
  </si>
  <si>
    <t>AMBULATÓRIO 7</t>
  </si>
  <si>
    <t>B111</t>
  </si>
  <si>
    <t>SALA DE PROCEDIMENTOS</t>
  </si>
  <si>
    <t>B109</t>
  </si>
  <si>
    <t>LABORATÓRIO DE ANÁLISES CLÍNICAS</t>
  </si>
  <si>
    <t>B113</t>
  </si>
  <si>
    <t>LABORATÓRIO DE MICROBIOLOGIA, IMUNILOGIA E PARASITOLOGIA</t>
  </si>
  <si>
    <t>B209</t>
  </si>
  <si>
    <t>LPCM III</t>
  </si>
  <si>
    <t>B210</t>
  </si>
  <si>
    <t>LPCM II</t>
  </si>
  <si>
    <t>B211</t>
  </si>
  <si>
    <t>ESTERILIZAÇÃO</t>
  </si>
  <si>
    <t>B212</t>
  </si>
  <si>
    <t>LABORATÓRIO DE PESQUISA  EM DOENÇAS CARDIOVASCULARES E METABÓLICAS</t>
  </si>
  <si>
    <t>B213</t>
  </si>
  <si>
    <t>LABORATÓRIO DE INFORMÁTICA</t>
  </si>
  <si>
    <t>AMBIENTE CLÍNICO</t>
  </si>
  <si>
    <t>A203</t>
  </si>
  <si>
    <t>APOIO SEMIOLOGIA</t>
  </si>
  <si>
    <t>ENTREVISTA CLÍNICA 01</t>
  </si>
  <si>
    <t>A203-2</t>
  </si>
  <si>
    <t>ENTREVISTA CLÍNICA 02</t>
  </si>
  <si>
    <t>A203-3</t>
  </si>
  <si>
    <t>LABORATÓRIO DE MICROSCOPIA 1</t>
  </si>
  <si>
    <t>B214</t>
  </si>
  <si>
    <t>LABORATÓRIO DE MICROSCOPIA 2</t>
  </si>
  <si>
    <t>B215</t>
  </si>
  <si>
    <t>LABORATÓRIO MULTIDISCIPLINAR</t>
  </si>
  <si>
    <t>B216</t>
  </si>
  <si>
    <t>LABORATÓRIO DE ESCRITA CIENTÍFICA</t>
  </si>
  <si>
    <t>B217</t>
  </si>
  <si>
    <t>SALA DE CONVIVÊNCIA</t>
  </si>
  <si>
    <t>REUNIÕES</t>
  </si>
  <si>
    <t xml:space="preserve">SALA </t>
  </si>
  <si>
    <t>HALL</t>
  </si>
  <si>
    <t>VARANDA</t>
  </si>
  <si>
    <t>WC's</t>
  </si>
  <si>
    <t>DML - SVO</t>
  </si>
  <si>
    <t>W.C. - VELÓRIO</t>
  </si>
  <si>
    <t>B105</t>
  </si>
  <si>
    <t>CIRCULAÇÃO INTERNA</t>
  </si>
  <si>
    <t>CIRCULAÇÃO/BICHOS</t>
  </si>
  <si>
    <t>EXPURGO</t>
  </si>
  <si>
    <t>W.C. FEM.</t>
  </si>
  <si>
    <t>W.C. MASC.</t>
  </si>
  <si>
    <t xml:space="preserve">W.C. </t>
  </si>
  <si>
    <t>Médico/Hospitalar</t>
  </si>
  <si>
    <t>W.C.MASC.</t>
  </si>
  <si>
    <t>A105</t>
  </si>
  <si>
    <t>W.C.FEM.</t>
  </si>
  <si>
    <t>A108</t>
  </si>
  <si>
    <t>A119</t>
  </si>
  <si>
    <t>A120</t>
  </si>
  <si>
    <t>W.C. AMBULATÓRIO 1</t>
  </si>
  <si>
    <t>W.C. AMBULATÓRIO 2</t>
  </si>
  <si>
    <t>B106</t>
  </si>
  <si>
    <t>B107</t>
  </si>
  <si>
    <t>A213</t>
  </si>
  <si>
    <t>A214</t>
  </si>
  <si>
    <t>B206</t>
  </si>
  <si>
    <t>B207</t>
  </si>
  <si>
    <t>W.C.FEM./AO LADO DA SECRETARIA</t>
  </si>
  <si>
    <t>W.C.MASC./AO LADO DA SECRETARIA</t>
  </si>
  <si>
    <t>Banheiro</t>
  </si>
  <si>
    <t>Inferior/Superior</t>
  </si>
  <si>
    <t>Circulação</t>
  </si>
  <si>
    <t>SUBESTAÇÃO DE ENERGIA</t>
  </si>
  <si>
    <t>ACESSO</t>
  </si>
  <si>
    <t>ACESSO BANHEIROS B106 E B107</t>
  </si>
  <si>
    <t>Telemática</t>
  </si>
  <si>
    <t>W.C. Fem.</t>
  </si>
  <si>
    <t>W.C. Masc.</t>
  </si>
  <si>
    <t>Refeitório</t>
  </si>
  <si>
    <t>Restaurante Universitário</t>
  </si>
  <si>
    <t>Atendimento</t>
  </si>
  <si>
    <t>Cozinha</t>
  </si>
  <si>
    <t>Depósito</t>
  </si>
  <si>
    <t>Dispensa</t>
  </si>
  <si>
    <t>Vasilhames</t>
  </si>
  <si>
    <t>Gabinete</t>
  </si>
  <si>
    <t>W.C. Acessível</t>
  </si>
  <si>
    <t>Galpão</t>
  </si>
  <si>
    <t>Almoxarifado</t>
  </si>
  <si>
    <t>Administração</t>
  </si>
  <si>
    <t>Guarita</t>
  </si>
  <si>
    <t>Coordenação</t>
  </si>
  <si>
    <t>Secretaria</t>
  </si>
  <si>
    <t>Sala de reuniões</t>
  </si>
  <si>
    <t>Copa</t>
  </si>
  <si>
    <t>Varanda</t>
  </si>
  <si>
    <t>Térreo</t>
  </si>
  <si>
    <t>Sala de Leitura</t>
  </si>
  <si>
    <t>Hall</t>
  </si>
  <si>
    <t>Recepção</t>
  </si>
  <si>
    <t>Empréstimo/Devolução</t>
  </si>
  <si>
    <t>Guarda volumes</t>
  </si>
  <si>
    <t>Bibliotecária</t>
  </si>
  <si>
    <t>Acervo</t>
  </si>
  <si>
    <t>Leitura</t>
  </si>
  <si>
    <t>Leitura em grupo 01</t>
  </si>
  <si>
    <t>Leitura em grupo 02</t>
  </si>
  <si>
    <t>Muitimídia</t>
  </si>
  <si>
    <t>Sala de processamento técnico</t>
  </si>
  <si>
    <t>Coleções</t>
  </si>
  <si>
    <t>Sala técnica</t>
  </si>
  <si>
    <t>1° Andar</t>
  </si>
  <si>
    <t>Lab. Informática 01</t>
  </si>
  <si>
    <t>Lab. Informática 02</t>
  </si>
  <si>
    <t>Hall 01</t>
  </si>
  <si>
    <t>Hall 02</t>
  </si>
  <si>
    <t>2° Andar</t>
  </si>
  <si>
    <t>Sala de professores</t>
  </si>
  <si>
    <t>3° Andar</t>
  </si>
  <si>
    <t>4° Andar</t>
  </si>
  <si>
    <t>5° Andar</t>
  </si>
  <si>
    <t>Espera</t>
  </si>
  <si>
    <t>WC</t>
  </si>
  <si>
    <t>PASSARELA</t>
  </si>
  <si>
    <t>Escadas</t>
  </si>
  <si>
    <t>Aula</t>
  </si>
  <si>
    <t>Administrativo</t>
  </si>
  <si>
    <t xml:space="preserve">REVESTIMENTO </t>
  </si>
  <si>
    <t>BLOCO B</t>
  </si>
  <si>
    <t>Gabinete Professor</t>
  </si>
  <si>
    <t>Bombas</t>
  </si>
  <si>
    <t>Apoio</t>
  </si>
  <si>
    <t>BLOCO D</t>
  </si>
  <si>
    <t>Lab. De Recursos Hídricos</t>
  </si>
  <si>
    <t>ÁREA DE LIMPEZA (m²)</t>
  </si>
  <si>
    <t>Apoio/Mestrado</t>
  </si>
  <si>
    <t>Parâmetros Físicos</t>
  </si>
  <si>
    <t>BLOCO F</t>
  </si>
  <si>
    <t>WC Masc.</t>
  </si>
  <si>
    <t>WC Fem</t>
  </si>
  <si>
    <t>WC Adaptado</t>
  </si>
  <si>
    <t>Diretoria</t>
  </si>
  <si>
    <t>Despensa</t>
  </si>
  <si>
    <t>REVESTIMENTO</t>
  </si>
  <si>
    <t>Cerâmico</t>
  </si>
  <si>
    <t>Piso industrial</t>
  </si>
  <si>
    <t>Tinta látex</t>
  </si>
  <si>
    <t>Vinil</t>
  </si>
  <si>
    <t>Piso</t>
  </si>
  <si>
    <t>Parede</t>
  </si>
  <si>
    <t>Teto</t>
  </si>
  <si>
    <t>Rodapé</t>
  </si>
  <si>
    <t>Cerâmico/Tinta látex</t>
  </si>
  <si>
    <t>Gesso acartonado</t>
  </si>
  <si>
    <t>Tinta acrílica</t>
  </si>
  <si>
    <t>Textura acrílica</t>
  </si>
  <si>
    <t>Aparente</t>
  </si>
  <si>
    <t>Forro pacote</t>
  </si>
  <si>
    <t>Forro pvc</t>
  </si>
  <si>
    <t>Perfil em alumínio anodizado (0,5x3,0x0,5cm) - Cor natural</t>
  </si>
  <si>
    <t xml:space="preserve">VALOR </t>
  </si>
  <si>
    <t xml:space="preserve">NOME </t>
  </si>
  <si>
    <t>ÁREA INTERNA (m²)</t>
  </si>
  <si>
    <t xml:space="preserve">Cerâmica (meia-parede) </t>
  </si>
  <si>
    <t xml:space="preserve">Laje Aparente </t>
  </si>
  <si>
    <t>Coordenações</t>
  </si>
  <si>
    <t>Sala extensão</t>
  </si>
  <si>
    <t>Sala de aula 10</t>
  </si>
  <si>
    <t>Brinquedoteca</t>
  </si>
  <si>
    <t>Sala de pedagogia</t>
  </si>
  <si>
    <t>Cantina</t>
  </si>
  <si>
    <t xml:space="preserve">Cerâmica </t>
  </si>
  <si>
    <t>Lab. Química</t>
  </si>
  <si>
    <t xml:space="preserve">Forro PVC </t>
  </si>
  <si>
    <t>Sala de aula 11</t>
  </si>
  <si>
    <t>Sala de aula 12</t>
  </si>
  <si>
    <t>Sala Rack TI</t>
  </si>
  <si>
    <t>Lab. Informática 1</t>
  </si>
  <si>
    <t>Lab. Informática 2</t>
  </si>
  <si>
    <t>Sala de gravação</t>
  </si>
  <si>
    <t>Rádio</t>
  </si>
  <si>
    <t>Recepção do Estúdio</t>
  </si>
  <si>
    <t>Apoio Acadêmico</t>
  </si>
  <si>
    <t>Sala de aula 7</t>
  </si>
  <si>
    <t>Sala de aula 8</t>
  </si>
  <si>
    <t>Sala de aula 9</t>
  </si>
  <si>
    <t>LABMATEC</t>
  </si>
  <si>
    <t xml:space="preserve">Sala de Leitura 01 </t>
  </si>
  <si>
    <t>Sala de Leitura 02</t>
  </si>
  <si>
    <t>Sala para reunião</t>
  </si>
  <si>
    <t>Sala de gestão</t>
  </si>
  <si>
    <t>26A</t>
  </si>
  <si>
    <t>26B</t>
  </si>
  <si>
    <t>Sala de aula 4</t>
  </si>
  <si>
    <t>Sala de aula 3</t>
  </si>
  <si>
    <t>Sala de aula 2</t>
  </si>
  <si>
    <t>Sala de aula 1</t>
  </si>
  <si>
    <t>Gabinete 1</t>
  </si>
  <si>
    <t>Gabinete 2</t>
  </si>
  <si>
    <t>Gabinete 3</t>
  </si>
  <si>
    <t>Gabinete 4</t>
  </si>
  <si>
    <t>Lab. Física</t>
  </si>
  <si>
    <t>Lab. Biologia</t>
  </si>
  <si>
    <t>Fluxo Laminar</t>
  </si>
  <si>
    <t>Autoclave</t>
  </si>
  <si>
    <t>37A</t>
  </si>
  <si>
    <t>Sala de aula 6</t>
  </si>
  <si>
    <t>Sala de aula 5</t>
  </si>
  <si>
    <t>Apoio Horto</t>
  </si>
  <si>
    <t xml:space="preserve">Barrilete </t>
  </si>
  <si>
    <t>Tinta Látex</t>
  </si>
  <si>
    <t xml:space="preserve">Porcelanato </t>
  </si>
  <si>
    <t>BLOCO H</t>
  </si>
  <si>
    <t xml:space="preserve">Foyer </t>
  </si>
  <si>
    <t xml:space="preserve">Cantina </t>
  </si>
  <si>
    <t xml:space="preserve">Cozinha </t>
  </si>
  <si>
    <t xml:space="preserve">WC Cozinha </t>
  </si>
  <si>
    <t xml:space="preserve">Equipamento de Som </t>
  </si>
  <si>
    <t xml:space="preserve">WC Fem. 01 </t>
  </si>
  <si>
    <t xml:space="preserve">WC Masc. 01 </t>
  </si>
  <si>
    <t xml:space="preserve">WC Adaptado Masc. 01 </t>
  </si>
  <si>
    <t xml:space="preserve">WC Adaptado Fem. 01 </t>
  </si>
  <si>
    <t xml:space="preserve">Auditório </t>
  </si>
  <si>
    <t xml:space="preserve">WC Auditório </t>
  </si>
  <si>
    <t xml:space="preserve">Ante-câmera 1 </t>
  </si>
  <si>
    <t xml:space="preserve">Camarim </t>
  </si>
  <si>
    <t xml:space="preserve">Escada </t>
  </si>
  <si>
    <t xml:space="preserve">WC Estúdio 01 </t>
  </si>
  <si>
    <t>WC Estúdio 02</t>
  </si>
  <si>
    <t>Ante-câmera 2</t>
  </si>
  <si>
    <t xml:space="preserve">Ilha de Edição </t>
  </si>
  <si>
    <t xml:space="preserve">Ar-condicionado </t>
  </si>
  <si>
    <t>Serviço</t>
  </si>
  <si>
    <t>Carpete</t>
  </si>
  <si>
    <t xml:space="preserve">Almoxarifado 01 </t>
  </si>
  <si>
    <t>Almoxarifado 02</t>
  </si>
  <si>
    <t>BLOCO J</t>
  </si>
  <si>
    <t>Perfil em alumínio anodizado (0,5x3,0x0,5cm), cor natural</t>
  </si>
  <si>
    <t>Cimentado rústico, desempenado</t>
  </si>
  <si>
    <t>Forro em gesso</t>
  </si>
  <si>
    <t>Forro em pvc</t>
  </si>
  <si>
    <t>Perfil em alumínio anodizado (0,5x3,0x0,5cm) - Cor preta</t>
  </si>
  <si>
    <t>BLOCO A</t>
  </si>
  <si>
    <t>Sala de Aula</t>
  </si>
  <si>
    <t>Sanitário Masculino</t>
  </si>
  <si>
    <t>Sanitário Feminino</t>
  </si>
  <si>
    <t>Lavabo</t>
  </si>
  <si>
    <t xml:space="preserve">Inferior </t>
  </si>
  <si>
    <t>Laboratório de Topografia</t>
  </si>
  <si>
    <t>BLOCO C</t>
  </si>
  <si>
    <t xml:space="preserve">Sala de Aula </t>
  </si>
  <si>
    <t>PET Música</t>
  </si>
  <si>
    <t>BLOCO E</t>
  </si>
  <si>
    <t>BLOCO G</t>
  </si>
  <si>
    <t>Laboratório de Desenho</t>
  </si>
  <si>
    <t>Gabinete Professor (Ivânio, Goretti Herculano, Ant.Chagas)</t>
  </si>
  <si>
    <t>Gabinete Professor (Cleyton Fernandes, Marcio Matos)</t>
  </si>
  <si>
    <t>Coordenação de Música</t>
  </si>
  <si>
    <t>Laboratório de Fotojornalismo</t>
  </si>
  <si>
    <t>Laboratório de Radiojornalismo</t>
  </si>
  <si>
    <t>Laboratório de Prática Instrumental, Violão e Laboratório de Estudos de Guitarra – LEG</t>
  </si>
  <si>
    <t>Laboratório de Prática Instrumental, Violoncelo e Contrabaixo Acústico</t>
  </si>
  <si>
    <t>Laboratório de Prática Instrumental, Saxofone</t>
  </si>
  <si>
    <t>Laboratório de Prática Musical Coletiva, LabMusic</t>
  </si>
  <si>
    <t>BLOCO I</t>
  </si>
  <si>
    <t>DLA</t>
  </si>
  <si>
    <t>DTI</t>
  </si>
  <si>
    <t>DCOM</t>
  </si>
  <si>
    <t>Devolução de Bandejas</t>
  </si>
  <si>
    <t>Nutricionista</t>
  </si>
  <si>
    <t>Higienização utensílios</t>
  </si>
  <si>
    <t>Subsolo</t>
  </si>
  <si>
    <t>Guarda-volumes</t>
  </si>
  <si>
    <t>DIREÇÃO / NÚCLEO DE AQUISIÇÃO</t>
  </si>
  <si>
    <t>Leitura Individual</t>
  </si>
  <si>
    <t>BLOCO K</t>
  </si>
  <si>
    <t>K01-s</t>
  </si>
  <si>
    <t>K02-s</t>
  </si>
  <si>
    <t>K03-s</t>
  </si>
  <si>
    <t>K04-s</t>
  </si>
  <si>
    <t>K05-s</t>
  </si>
  <si>
    <t>K06-s</t>
  </si>
  <si>
    <t>K07-s</t>
  </si>
  <si>
    <t>Sanitário PNE</t>
  </si>
  <si>
    <t>K01</t>
  </si>
  <si>
    <t>K02</t>
  </si>
  <si>
    <t>K03</t>
  </si>
  <si>
    <t>K04</t>
  </si>
  <si>
    <t>K05</t>
  </si>
  <si>
    <t>K06</t>
  </si>
  <si>
    <t>K101</t>
  </si>
  <si>
    <t>K102</t>
  </si>
  <si>
    <t>K103</t>
  </si>
  <si>
    <t>K104</t>
  </si>
  <si>
    <t>K105</t>
  </si>
  <si>
    <t>K106</t>
  </si>
  <si>
    <t>K107</t>
  </si>
  <si>
    <t>K201</t>
  </si>
  <si>
    <t>K202</t>
  </si>
  <si>
    <t>K203</t>
  </si>
  <si>
    <t>K204</t>
  </si>
  <si>
    <t>K205</t>
  </si>
  <si>
    <t>K206</t>
  </si>
  <si>
    <t>K207</t>
  </si>
  <si>
    <t>K301</t>
  </si>
  <si>
    <t>K302</t>
  </si>
  <si>
    <t>K303</t>
  </si>
  <si>
    <t>K304</t>
  </si>
  <si>
    <t>K305</t>
  </si>
  <si>
    <t>K306</t>
  </si>
  <si>
    <t>K307</t>
  </si>
  <si>
    <t>K308</t>
  </si>
  <si>
    <t>K401</t>
  </si>
  <si>
    <t>K402</t>
  </si>
  <si>
    <t>K403</t>
  </si>
  <si>
    <t>K404</t>
  </si>
  <si>
    <t>K405</t>
  </si>
  <si>
    <t>K406</t>
  </si>
  <si>
    <t>K407</t>
  </si>
  <si>
    <t>K408</t>
  </si>
  <si>
    <t>K409</t>
  </si>
  <si>
    <t>BLOCO L</t>
  </si>
  <si>
    <t>WC PCR</t>
  </si>
  <si>
    <t>Laboratório de Polímeros</t>
  </si>
  <si>
    <t>Sala de preparação de amostras</t>
  </si>
  <si>
    <t>Laboratório de Calçados</t>
  </si>
  <si>
    <t>Sala técnico</t>
  </si>
  <si>
    <t>Sala de microscopia ótica</t>
  </si>
  <si>
    <t>Fluorescência e difração de raio x</t>
  </si>
  <si>
    <t>Microscopia eletrônica</t>
  </si>
  <si>
    <t>Sala de apoio acadêmico</t>
  </si>
  <si>
    <t>Circulação/Corredor</t>
  </si>
  <si>
    <t>Circulação/Entrada</t>
  </si>
  <si>
    <t>Estrutura aparente</t>
  </si>
  <si>
    <t xml:space="preserve"> Tinta látex</t>
  </si>
  <si>
    <t>Tinta látex/Drywall</t>
  </si>
  <si>
    <t>Laje aparente/Tinta látex</t>
  </si>
  <si>
    <t>Forro em gesso acartonado</t>
  </si>
  <si>
    <t xml:space="preserve">Circulação </t>
  </si>
  <si>
    <t>Bilhetes</t>
  </si>
  <si>
    <t>Lambri de PVC</t>
  </si>
  <si>
    <t>Laje emassada</t>
  </si>
  <si>
    <t>M01-s</t>
  </si>
  <si>
    <t>M02-s</t>
  </si>
  <si>
    <t>M03-s</t>
  </si>
  <si>
    <t>M04-s</t>
  </si>
  <si>
    <t>M05-s</t>
  </si>
  <si>
    <t>Sala Técnica</t>
  </si>
  <si>
    <t>WC Feminino Acessível</t>
  </si>
  <si>
    <t>M01</t>
  </si>
  <si>
    <t>M02</t>
  </si>
  <si>
    <t>M03</t>
  </si>
  <si>
    <t>M04</t>
  </si>
  <si>
    <t>M05</t>
  </si>
  <si>
    <t>M101</t>
  </si>
  <si>
    <t>M102</t>
  </si>
  <si>
    <t>M103</t>
  </si>
  <si>
    <t>M104</t>
  </si>
  <si>
    <t>M105</t>
  </si>
  <si>
    <t>M201</t>
  </si>
  <si>
    <t>M202</t>
  </si>
  <si>
    <t>M203</t>
  </si>
  <si>
    <t>M204</t>
  </si>
  <si>
    <t>M205</t>
  </si>
  <si>
    <t>M301</t>
  </si>
  <si>
    <t>M302</t>
  </si>
  <si>
    <t>M303</t>
  </si>
  <si>
    <t>M304</t>
  </si>
  <si>
    <t>M305</t>
  </si>
  <si>
    <t>M306</t>
  </si>
  <si>
    <t>M307</t>
  </si>
  <si>
    <t>M308</t>
  </si>
  <si>
    <t>M309</t>
  </si>
  <si>
    <t>M310</t>
  </si>
  <si>
    <t>M311</t>
  </si>
  <si>
    <t>M401</t>
  </si>
  <si>
    <t>M402</t>
  </si>
  <si>
    <t>M403</t>
  </si>
  <si>
    <t>M404</t>
  </si>
  <si>
    <t>M405</t>
  </si>
  <si>
    <t>M406</t>
  </si>
  <si>
    <t>M407</t>
  </si>
  <si>
    <t>M408</t>
  </si>
  <si>
    <t>M409</t>
  </si>
  <si>
    <t>M410</t>
  </si>
  <si>
    <t>M411</t>
  </si>
  <si>
    <t>M412</t>
  </si>
  <si>
    <t xml:space="preserve">Subsolo </t>
  </si>
  <si>
    <t>BLOCO M</t>
  </si>
  <si>
    <t>BLOCO N</t>
  </si>
  <si>
    <t>WC PCR Fem.</t>
  </si>
  <si>
    <t>WC Fem.</t>
  </si>
  <si>
    <t>WC PCR Masc.</t>
  </si>
  <si>
    <t xml:space="preserve">Sala de aula </t>
  </si>
  <si>
    <t>Laboratório de Solos</t>
  </si>
  <si>
    <t>Hall+Circulação</t>
  </si>
  <si>
    <t>Circulação (Foyer-Auditório)</t>
  </si>
  <si>
    <t>Perfil em alumínio anodizado (0,5x3,0x0,5cm), cor preto</t>
  </si>
  <si>
    <t>WC - Sala nutricionisa</t>
  </si>
  <si>
    <t xml:space="preserve">RESIDÊNCIA UNIVERSITÁRIA </t>
  </si>
  <si>
    <t xml:space="preserve">Elevador </t>
  </si>
  <si>
    <t>Escada</t>
  </si>
  <si>
    <t xml:space="preserve">Hall Circulação 01 </t>
  </si>
  <si>
    <t>Hall Circulação 02</t>
  </si>
  <si>
    <t>Hall Circulação 03</t>
  </si>
  <si>
    <t xml:space="preserve">Apoio Lavanderia </t>
  </si>
  <si>
    <t>Lavanderia</t>
  </si>
  <si>
    <t xml:space="preserve">Refeitório </t>
  </si>
  <si>
    <t xml:space="preserve">WC Feminino - Refeitório </t>
  </si>
  <si>
    <t xml:space="preserve">Wc Masculino - Refeitório </t>
  </si>
  <si>
    <t>Hall - Wc (Refeitório)</t>
  </si>
  <si>
    <t xml:space="preserve">Despensa </t>
  </si>
  <si>
    <t xml:space="preserve">Sala de Estar </t>
  </si>
  <si>
    <t xml:space="preserve">Térreo </t>
  </si>
  <si>
    <t>Alojamento</t>
  </si>
  <si>
    <t xml:space="preserve">1° Andar </t>
  </si>
  <si>
    <t xml:space="preserve">2° Andar </t>
  </si>
  <si>
    <t xml:space="preserve">Quadra </t>
  </si>
  <si>
    <t xml:space="preserve">Arquibancada 01 </t>
  </si>
  <si>
    <t>Arquibancada 02</t>
  </si>
  <si>
    <t xml:space="preserve">Banheiro/Vestiário Fem. </t>
  </si>
  <si>
    <t xml:space="preserve">Banheiro/Vestiário Masc. </t>
  </si>
  <si>
    <t xml:space="preserve">Depósito </t>
  </si>
  <si>
    <t>Concreto Pólido</t>
  </si>
  <si>
    <t xml:space="preserve">Telha metálica </t>
  </si>
  <si>
    <t xml:space="preserve">Laje aparente </t>
  </si>
  <si>
    <t>Forro acústico</t>
  </si>
  <si>
    <t>TOTAL (m²)</t>
  </si>
  <si>
    <t>Salas de aula e administrativas (piso industrial e vinil)</t>
  </si>
  <si>
    <t>Laboratórios</t>
  </si>
  <si>
    <t>Almoxarifado/ Galpão</t>
  </si>
  <si>
    <t>Circulação/Hall/ Passarela/ Quadra/ Arquibancada</t>
  </si>
  <si>
    <t>Banheiros</t>
  </si>
  <si>
    <t>JUAZEIRO DO NORTE</t>
  </si>
  <si>
    <t xml:space="preserve">BLOCO B </t>
  </si>
  <si>
    <t xml:space="preserve">BLOCO D </t>
  </si>
  <si>
    <t xml:space="preserve">BLOCO F </t>
  </si>
  <si>
    <t xml:space="preserve">BLOCO J </t>
  </si>
  <si>
    <t xml:space="preserve">BLOCO K </t>
  </si>
  <si>
    <t xml:space="preserve">BLOCO L </t>
  </si>
  <si>
    <t>TOTAL</t>
  </si>
  <si>
    <t>PÓRTICO</t>
  </si>
  <si>
    <t>Portaria</t>
  </si>
  <si>
    <t>Passarela - 6ª etapa</t>
  </si>
  <si>
    <t>Passarela - 7ª etapa</t>
  </si>
  <si>
    <t>Área Total (m²)</t>
  </si>
  <si>
    <t xml:space="preserve">Leitura / Multimidia </t>
  </si>
  <si>
    <t xml:space="preserve">Auditoria interna </t>
  </si>
  <si>
    <t>Gabinete 03</t>
  </si>
  <si>
    <t>Cerâmica</t>
  </si>
  <si>
    <t>Forro PVC</t>
  </si>
  <si>
    <t>BARBALHA</t>
  </si>
  <si>
    <t xml:space="preserve">PRÉDIO PRINCIPAL </t>
  </si>
  <si>
    <t xml:space="preserve">SUBESTAÇÃO </t>
  </si>
  <si>
    <t>ILUMINÂNCIA (lux)</t>
  </si>
  <si>
    <t>Pontos</t>
  </si>
  <si>
    <t>Média</t>
  </si>
  <si>
    <t>LABORATÓRIO DE HISTOPATOLOGIA</t>
  </si>
  <si>
    <t>ReviFlex</t>
  </si>
  <si>
    <t>Laje/Tinta látex</t>
  </si>
  <si>
    <t>Tinta Epoxi</t>
  </si>
  <si>
    <t>Tinta PVA</t>
  </si>
  <si>
    <t>FILETE EM GRANITO POLIDO COR CINZA (6x2cm)</t>
  </si>
  <si>
    <t xml:space="preserve">Laje </t>
  </si>
  <si>
    <t xml:space="preserve">Tratamento de representação da informação </t>
  </si>
  <si>
    <t>Critérios de uso</t>
  </si>
  <si>
    <t>Salas de aula e administrativas (piso industrial e vinil) e laboratórios não insalubres</t>
  </si>
  <si>
    <t>Laboratórios (sujos)</t>
  </si>
  <si>
    <t>Circulação/Hall/ Passarela/ Quadra/ Arquibancada/ Escadas e rampas</t>
  </si>
  <si>
    <t>Pisos</t>
  </si>
  <si>
    <t>Lab/sujo</t>
  </si>
  <si>
    <t>Arquibancada</t>
  </si>
  <si>
    <t>Quadra</t>
  </si>
  <si>
    <t>Lab/não sujo</t>
  </si>
  <si>
    <t>Médico Hospitalar</t>
  </si>
  <si>
    <t xml:space="preserve">Biotério </t>
  </si>
  <si>
    <t>Concreto</t>
  </si>
  <si>
    <t>ÁREA EXTERNA (m²)</t>
  </si>
  <si>
    <t>Passeios</t>
  </si>
  <si>
    <t>Áreas verdes</t>
  </si>
  <si>
    <t>CAMPUS BARBALHA</t>
  </si>
  <si>
    <t>WC Masculino Acessível</t>
  </si>
  <si>
    <t>CRATO</t>
  </si>
  <si>
    <t>GUARITA</t>
  </si>
  <si>
    <t>ÁREA</t>
  </si>
  <si>
    <t>Laboratório - Central Analítica</t>
  </si>
  <si>
    <t>Subestação</t>
  </si>
  <si>
    <t>Subestação de energia</t>
  </si>
  <si>
    <t>CAMPUS CRATO</t>
  </si>
  <si>
    <t>PRÉDIO PRINCIPAL</t>
  </si>
  <si>
    <t>ICÓ</t>
  </si>
  <si>
    <t>CIRCULAÇÃO EXTERNA</t>
  </si>
  <si>
    <t>Estacionamento</t>
  </si>
  <si>
    <t>Passeio</t>
  </si>
  <si>
    <t>CAMPUS BREJO SANTO</t>
  </si>
  <si>
    <t>CAMPUS JUAZEIRO DO NORTE</t>
  </si>
  <si>
    <t>Ruas</t>
  </si>
  <si>
    <t>Canteiro frontal</t>
  </si>
  <si>
    <t>Áreas externas</t>
  </si>
  <si>
    <t xml:space="preserve">BREJO SANTO </t>
  </si>
  <si>
    <t xml:space="preserve">ÁREA INTERNA </t>
  </si>
  <si>
    <t xml:space="preserve">ÁREA EXTERNA </t>
  </si>
  <si>
    <t>ESQUADRIA INTERNA (S/RISCO)</t>
  </si>
  <si>
    <t>ESQUADRIA INTERNA (C/RISCO)</t>
  </si>
  <si>
    <t>ESQUADRIA EXTERNA (S/RISCO)</t>
  </si>
  <si>
    <t>ESQUADRIA EXTERNA (C/RISCO)</t>
  </si>
  <si>
    <t>ÁREA MÉDICA HOSPITALAR</t>
  </si>
  <si>
    <t>TIPO DE ÁREA</t>
  </si>
  <si>
    <t>Área médica/hospitalar</t>
  </si>
  <si>
    <t>CENTRO ACADÊMICO</t>
  </si>
  <si>
    <t>Perfil em alumínio anoizado (0,5x3,0x0,5com) - Cor natural</t>
  </si>
  <si>
    <t>DISSECAÇÃO + SALA GUARDA DE MATERIAL DE ANATOMIA</t>
  </si>
  <si>
    <t>ALMOXARIFADO/ARQUIVO</t>
  </si>
  <si>
    <t xml:space="preserve"> Superior</t>
  </si>
  <si>
    <t>Sala de Controle</t>
  </si>
  <si>
    <t>RECEPÇÃO</t>
  </si>
  <si>
    <t>LABORATÓRIO DE APOIO E DE PESQUISA</t>
  </si>
  <si>
    <t>ANTE SALA</t>
  </si>
  <si>
    <t>LAVAGEM E ESTERILIZAÇÃO</t>
  </si>
  <si>
    <t>BIOMOL</t>
  </si>
  <si>
    <t>Cimentado, rústico</t>
  </si>
  <si>
    <t>Área Externa</t>
  </si>
  <si>
    <t>N-01</t>
  </si>
  <si>
    <t>W.C. - MASC. E FEM.</t>
  </si>
  <si>
    <t>N-02</t>
  </si>
  <si>
    <t>N-03</t>
  </si>
  <si>
    <t>N-04</t>
  </si>
  <si>
    <t>N-05</t>
  </si>
  <si>
    <t>B116</t>
  </si>
  <si>
    <t>N-06</t>
  </si>
  <si>
    <t>N-07</t>
  </si>
  <si>
    <t>N-08</t>
  </si>
  <si>
    <t>N-09</t>
  </si>
  <si>
    <t>N-10</t>
  </si>
  <si>
    <t>N-11</t>
  </si>
  <si>
    <t>N-12</t>
  </si>
  <si>
    <t>N-13</t>
  </si>
  <si>
    <t>N-14</t>
  </si>
  <si>
    <t>N-15</t>
  </si>
  <si>
    <t>N-16</t>
  </si>
  <si>
    <t>N-17</t>
  </si>
  <si>
    <t>N-18</t>
  </si>
  <si>
    <t>N-19</t>
  </si>
  <si>
    <t>N-20</t>
  </si>
  <si>
    <t>N-21</t>
  </si>
  <si>
    <t>N-22</t>
  </si>
  <si>
    <t>N-23</t>
  </si>
  <si>
    <t>N-24</t>
  </si>
  <si>
    <t>N-25</t>
  </si>
  <si>
    <t>N-26</t>
  </si>
  <si>
    <t>N-27</t>
  </si>
  <si>
    <t>N-28</t>
  </si>
  <si>
    <t>N-29</t>
  </si>
  <si>
    <t>N-30</t>
  </si>
  <si>
    <t>N-31</t>
  </si>
  <si>
    <t>N-32</t>
  </si>
  <si>
    <t>N-33</t>
  </si>
  <si>
    <t>N-34</t>
  </si>
  <si>
    <t>N-35</t>
  </si>
  <si>
    <t>N-36</t>
  </si>
  <si>
    <t>N-38</t>
  </si>
  <si>
    <t>N-37</t>
  </si>
  <si>
    <t>SALAS DE APOIO (VETERINÁRIO, ARQUIVO + SALA SEM NOMECLATURA)</t>
  </si>
  <si>
    <t>N-39</t>
  </si>
  <si>
    <t>N-40</t>
  </si>
  <si>
    <t>N-41</t>
  </si>
  <si>
    <t>N-42</t>
  </si>
  <si>
    <t>N-43</t>
  </si>
  <si>
    <t>N-44</t>
  </si>
  <si>
    <t>N-45</t>
  </si>
  <si>
    <t>N-46</t>
  </si>
  <si>
    <t>N-47</t>
  </si>
  <si>
    <t>N-48</t>
  </si>
  <si>
    <t>N-49</t>
  </si>
  <si>
    <t>W.C. - SECRETARIA</t>
  </si>
  <si>
    <t>N-50</t>
  </si>
  <si>
    <t>N-51</t>
  </si>
  <si>
    <t>N-52</t>
  </si>
  <si>
    <t>N-53</t>
  </si>
  <si>
    <t>N-54</t>
  </si>
  <si>
    <t>N-55</t>
  </si>
  <si>
    <t>Procuradoria</t>
  </si>
  <si>
    <t>Ouvidoria</t>
  </si>
  <si>
    <t>N-56</t>
  </si>
  <si>
    <t>N-57</t>
  </si>
  <si>
    <t>N-58</t>
  </si>
  <si>
    <t>N-59</t>
  </si>
  <si>
    <t>N-60</t>
  </si>
  <si>
    <t>N-61</t>
  </si>
  <si>
    <t>N-62</t>
  </si>
  <si>
    <t>N-63</t>
  </si>
  <si>
    <t>N-64</t>
  </si>
  <si>
    <t>N-65</t>
  </si>
  <si>
    <t>N-66</t>
  </si>
  <si>
    <t>N-67</t>
  </si>
  <si>
    <t>N-68</t>
  </si>
  <si>
    <t>N-69</t>
  </si>
  <si>
    <t>N-70</t>
  </si>
  <si>
    <t>N-71</t>
  </si>
  <si>
    <t>N-72</t>
  </si>
  <si>
    <t>N-73</t>
  </si>
  <si>
    <t>N-74</t>
  </si>
  <si>
    <t>N-75</t>
  </si>
  <si>
    <t>N-76</t>
  </si>
  <si>
    <t>N-77</t>
  </si>
  <si>
    <t>N-78</t>
  </si>
  <si>
    <t>N-79</t>
  </si>
  <si>
    <t>N-80</t>
  </si>
  <si>
    <t>N-81</t>
  </si>
  <si>
    <t>N-82</t>
  </si>
  <si>
    <t>N-83</t>
  </si>
  <si>
    <t>N-84</t>
  </si>
  <si>
    <t>N-85</t>
  </si>
  <si>
    <t>N-86</t>
  </si>
  <si>
    <t>N-87</t>
  </si>
  <si>
    <t>N-88</t>
  </si>
  <si>
    <t>N-89</t>
  </si>
  <si>
    <t>N-90</t>
  </si>
  <si>
    <t>N-91</t>
  </si>
  <si>
    <t>N-92</t>
  </si>
  <si>
    <t>N-93</t>
  </si>
  <si>
    <t>N-94</t>
  </si>
  <si>
    <t>N-95</t>
  </si>
  <si>
    <t>N-96</t>
  </si>
  <si>
    <t>N-97</t>
  </si>
  <si>
    <t>N-98</t>
  </si>
  <si>
    <t>N-99</t>
  </si>
  <si>
    <t>N-100</t>
  </si>
  <si>
    <t>N-101</t>
  </si>
  <si>
    <t>N-102</t>
  </si>
  <si>
    <t>N-103</t>
  </si>
  <si>
    <t>N-104</t>
  </si>
  <si>
    <t>N-105</t>
  </si>
  <si>
    <t>N-106</t>
  </si>
  <si>
    <t>N-107</t>
  </si>
  <si>
    <t>C-01</t>
  </si>
  <si>
    <t>C-02</t>
  </si>
  <si>
    <t>C-03</t>
  </si>
  <si>
    <t>C-04</t>
  </si>
  <si>
    <t>C-05</t>
  </si>
  <si>
    <t>C-06</t>
  </si>
  <si>
    <t>C-07</t>
  </si>
  <si>
    <t>C-08</t>
  </si>
  <si>
    <t>C-09</t>
  </si>
  <si>
    <t>C-10</t>
  </si>
  <si>
    <t>C-11</t>
  </si>
  <si>
    <t>C-12</t>
  </si>
  <si>
    <t>C-13</t>
  </si>
  <si>
    <t>C-14</t>
  </si>
  <si>
    <t>C-15</t>
  </si>
  <si>
    <t>C-16</t>
  </si>
  <si>
    <t>C-17</t>
  </si>
  <si>
    <t>C-18</t>
  </si>
  <si>
    <t>C-19</t>
  </si>
  <si>
    <t>C-20</t>
  </si>
  <si>
    <t>C-21</t>
  </si>
  <si>
    <t>C-22</t>
  </si>
  <si>
    <t>C-23</t>
  </si>
  <si>
    <t>C-24</t>
  </si>
  <si>
    <t>C-25</t>
  </si>
  <si>
    <t>C-26</t>
  </si>
  <si>
    <t>C-27</t>
  </si>
  <si>
    <t>C-28</t>
  </si>
  <si>
    <t>C-29</t>
  </si>
  <si>
    <t>N-108</t>
  </si>
  <si>
    <t>N-109</t>
  </si>
  <si>
    <t>C-30</t>
  </si>
  <si>
    <t>C-31</t>
  </si>
  <si>
    <t>C-32</t>
  </si>
  <si>
    <t>C-33</t>
  </si>
  <si>
    <t>N-110</t>
  </si>
  <si>
    <t>N-111</t>
  </si>
  <si>
    <t>N-112</t>
  </si>
  <si>
    <t>N-113</t>
  </si>
  <si>
    <t>N-114</t>
  </si>
  <si>
    <t>C-34</t>
  </si>
  <si>
    <t>WC MASC</t>
  </si>
  <si>
    <t>WC FEM.</t>
  </si>
  <si>
    <t>WC -01</t>
  </si>
  <si>
    <t>WC -02</t>
  </si>
  <si>
    <t>WC -03</t>
  </si>
  <si>
    <t>WC -04</t>
  </si>
  <si>
    <t>WC -05</t>
  </si>
  <si>
    <t>WC -06</t>
  </si>
  <si>
    <t>WC -07</t>
  </si>
  <si>
    <t>WC -08</t>
  </si>
  <si>
    <t>WC ACESSÍVEL MASC</t>
  </si>
  <si>
    <t>WC ACESSÍVEL FEM</t>
  </si>
  <si>
    <t>WC -09</t>
  </si>
  <si>
    <t>WC -10</t>
  </si>
  <si>
    <t>WC -11</t>
  </si>
  <si>
    <t>WC -12</t>
  </si>
  <si>
    <t>CMS</t>
  </si>
  <si>
    <t>QUANTITATIVO DE ÁREAS  - CAMPUS BARBALHA</t>
  </si>
  <si>
    <t>QUANTITATIVO DE ÁREAS  - CAMPUS CRATO</t>
  </si>
  <si>
    <t>QUANTITATIVO DE ÁREAS  - CAMPUS JUAZEIRO DO NORTE</t>
  </si>
  <si>
    <t>QUANTITATIVO DE ÁREAS  - CAMPUS BREJO SANTO</t>
  </si>
  <si>
    <t>EXTERNO</t>
  </si>
  <si>
    <t>Barrilete</t>
  </si>
  <si>
    <t>UFCA - GERAL - TOTAL POR USO</t>
  </si>
  <si>
    <t>UFCA - GERAL - TOTAL INTERNO/EXTERNO</t>
  </si>
  <si>
    <t>CRITÉRIOS DE USO E REVESTIMENTO DE PISO USADOS NAS FÓRMULAS  - NÃO APAGAR</t>
  </si>
  <si>
    <t>DIRETORIA DE INFRAESTRUTURA</t>
  </si>
  <si>
    <t>OBSERVAÇÕES:</t>
  </si>
  <si>
    <t>INTERNA</t>
  </si>
  <si>
    <t>SUPERVISÃO DO LEVANTAMENTO: Arq Louise Barbosa</t>
  </si>
  <si>
    <t>Os quantitativos desta planilha são condicionados pelas mudanças de usos, adaptações e mudanças durante a obra. Para as medições de pagamento, utilizar as plantas e planilhas atualizadas.</t>
  </si>
  <si>
    <t>Levantamento e cálculo realizado conforme solicitação do memorando nº 83/2018/CTER/PROAD/UFCA para o cálculo de áreas de limpeza.</t>
  </si>
  <si>
    <r>
      <t xml:space="preserve">Os </t>
    </r>
    <r>
      <rPr>
        <b/>
        <sz val="11"/>
        <color theme="1"/>
        <rFont val="Calibri"/>
        <family val="2"/>
        <scheme val="minor"/>
      </rPr>
      <t>laboratórios</t>
    </r>
    <r>
      <rPr>
        <sz val="11"/>
        <color theme="1"/>
        <rFont val="Calibri"/>
        <family val="2"/>
        <scheme val="minor"/>
      </rPr>
      <t xml:space="preserve"> foram classificados em dois tipos nas planilhas:</t>
    </r>
    <r>
      <rPr>
        <b/>
        <sz val="11"/>
        <color theme="1"/>
        <rFont val="Calibri"/>
        <family val="2"/>
        <scheme val="minor"/>
      </rPr>
      <t xml:space="preserve"> Lab/sujo e Lab/não sujo</t>
    </r>
    <r>
      <rPr>
        <sz val="11"/>
        <color theme="1"/>
        <rFont val="Calibri"/>
        <family val="2"/>
        <scheme val="minor"/>
      </rPr>
      <t>.
Esta classificação é para diferenciar os tipos de laboratórios, de modo que na planilha permanecesse o uso acadêmico de "Laboratório", mas não fosse contabilizado no índice de produtividade de Laboratório. Assim, nos</t>
    </r>
    <r>
      <rPr>
        <b/>
        <sz val="11"/>
        <color theme="1"/>
        <rFont val="Calibri"/>
        <family val="2"/>
        <scheme val="minor"/>
      </rPr>
      <t xml:space="preserve"> Lab/não sujo </t>
    </r>
    <r>
      <rPr>
        <sz val="11"/>
        <color theme="1"/>
        <rFont val="Calibri"/>
        <family val="2"/>
        <scheme val="minor"/>
      </rPr>
      <t>estão salas que se assemelham às salas administrativas, como</t>
    </r>
    <r>
      <rPr>
        <b/>
        <sz val="11"/>
        <color theme="1"/>
        <rFont val="Calibri"/>
        <family val="2"/>
        <scheme val="minor"/>
      </rPr>
      <t xml:space="preserve"> laboratórios de informática, de desenho e de música</t>
    </r>
    <r>
      <rPr>
        <sz val="11"/>
        <color theme="1"/>
        <rFont val="Calibri"/>
        <family val="2"/>
        <scheme val="minor"/>
      </rPr>
      <t>.</t>
    </r>
  </si>
  <si>
    <t>No Campus Juazeiro do Norte já estão inclusas as obras da 1ª à 8ª etapa e a obra de Urbanização (esta, com previsão de finalização em dezembro/2019).</t>
  </si>
  <si>
    <t>Pisos acarpetados, cerâmica, granito polido</t>
  </si>
  <si>
    <t>Pisos acarpetados e frios</t>
  </si>
  <si>
    <t>TOTAL INTERNA</t>
  </si>
  <si>
    <t>TOTAL EXTERNA</t>
  </si>
  <si>
    <t>ÁREA DE LIMPEZA TOTAL</t>
  </si>
  <si>
    <t>Em alguns ambientes de Laboratório a área útil se diferencia da área de limpeza, pois nestes foram subtraídas as áreas dos armários abaixo de bancadas.</t>
  </si>
  <si>
    <t>Residência</t>
  </si>
  <si>
    <t>Quadras</t>
  </si>
  <si>
    <t>Passeio - 1a a 5a etapa</t>
  </si>
  <si>
    <t>Passeio - 6a etapa (K e L)</t>
  </si>
  <si>
    <t>área até 5m entorno de todos os blocos</t>
  </si>
  <si>
    <t>Passeio - 7a etapa (bloco M)</t>
  </si>
  <si>
    <t>Passeio - 7a etapa (bloco N)</t>
  </si>
  <si>
    <t>Existente</t>
  </si>
  <si>
    <t>Passeio nos estacionamentos e na rua em frente</t>
  </si>
  <si>
    <t>Áreas verdes da 1a a 5a etapa</t>
  </si>
  <si>
    <t>6a etapa - jardins</t>
  </si>
  <si>
    <t>Estacionamento (a somar, após Urbanização)</t>
  </si>
  <si>
    <t>Bicicletário</t>
  </si>
  <si>
    <t>Praça da frente mais triângulo pequeno</t>
  </si>
  <si>
    <t>Canteiro frontal do estacionamento próx da ADUFC</t>
  </si>
  <si>
    <t>Ruas internas - Intertravado 16 faces</t>
  </si>
  <si>
    <t>Ciclofaixa (trânsito de bicicletas)</t>
  </si>
  <si>
    <t>Existente/A entregar</t>
  </si>
  <si>
    <t>A Entregar</t>
  </si>
  <si>
    <t>ÁREA DE DEDETIZAÇÃO</t>
  </si>
  <si>
    <r>
      <rPr>
        <b/>
        <sz val="11"/>
        <color theme="1"/>
        <rFont val="Calibri"/>
        <family val="2"/>
        <scheme val="minor"/>
      </rPr>
      <t>Áreas verdes</t>
    </r>
    <r>
      <rPr>
        <sz val="11"/>
        <color theme="1"/>
        <rFont val="Calibri"/>
        <family val="2"/>
        <scheme val="minor"/>
      </rPr>
      <t xml:space="preserve"> não foram incorporadas ao total final de</t>
    </r>
    <r>
      <rPr>
        <b/>
        <sz val="11"/>
        <color theme="1"/>
        <rFont val="Calibri"/>
        <family val="2"/>
        <scheme val="minor"/>
      </rPr>
      <t xml:space="preserve"> áreas externas</t>
    </r>
    <r>
      <rPr>
        <sz val="11"/>
        <color theme="1"/>
        <rFont val="Calibri"/>
        <family val="2"/>
        <scheme val="minor"/>
      </rPr>
      <t xml:space="preserve"> para fins de cálculo de limpeza.</t>
    </r>
  </si>
  <si>
    <r>
      <t xml:space="preserve">As áreas de para </t>
    </r>
    <r>
      <rPr>
        <b/>
        <sz val="11"/>
        <color theme="1"/>
        <rFont val="Calibri"/>
        <family val="2"/>
        <scheme val="minor"/>
      </rPr>
      <t>DEDETIZAÇÃO</t>
    </r>
    <r>
      <rPr>
        <sz val="11"/>
        <color theme="1"/>
        <rFont val="Calibri"/>
        <family val="2"/>
        <scheme val="minor"/>
      </rPr>
      <t xml:space="preserve"> estão nas últimas páginas deste relatório. Nelas estão inclusas as áreas verdes.</t>
    </r>
  </si>
  <si>
    <t>LEVANTAMENTO: ÁREAS DOS CAMPI - ÚTIL/LIMPEZA/DEDETIZAÇÃO</t>
  </si>
  <si>
    <t>ATUALIZAÇÃO EM 07/12/18: 
&gt; Inserção na planilha de informações sobre as instalações solicitadas pelo e-MEC para o recredenciamento: Tipo de instalação, identificação, Disponibilidade do imóvel, quantidade, capacidade de alunos, tipo de capacidade (por turno), utilização da instalação, área total, complemento.</t>
  </si>
  <si>
    <t>OCUPAÇÃO</t>
  </si>
  <si>
    <t>Quantidade</t>
  </si>
  <si>
    <t>Área</t>
  </si>
  <si>
    <t>Capacidade de pessoas</t>
  </si>
  <si>
    <t>Salas de Aula</t>
  </si>
  <si>
    <t>Salas Administrativas</t>
  </si>
  <si>
    <t>Gabinetes de professores</t>
  </si>
  <si>
    <t>CRITÉRIOS (NÃO APAGAR)</t>
  </si>
  <si>
    <t>RESUMO</t>
  </si>
  <si>
    <t>Quadra Poliesportiva</t>
  </si>
  <si>
    <t>RESUMO PARA PROCURADORIA EDUCACIONAL</t>
  </si>
  <si>
    <t>BREJO SANTO</t>
  </si>
  <si>
    <t>Área de Convivência</t>
  </si>
  <si>
    <t>Vagas/carro</t>
  </si>
  <si>
    <t>Vagas/moto</t>
  </si>
  <si>
    <t>Vagas/ bicicletas</t>
  </si>
  <si>
    <t>GRUPO DE PESQUISA</t>
  </si>
  <si>
    <t>NOVA OCUPAÇÃO</t>
  </si>
  <si>
    <t>MOBILIÁRIO</t>
  </si>
  <si>
    <t>CADEIRAS</t>
  </si>
  <si>
    <t>MESA L</t>
  </si>
  <si>
    <t>MESA RETA</t>
  </si>
  <si>
    <t>ARMÁRIO</t>
  </si>
  <si>
    <t>Laboratório de Hidráulica</t>
  </si>
  <si>
    <t>Laboratório de Anatomia</t>
  </si>
  <si>
    <t>Lab. de Fitopatologia</t>
  </si>
  <si>
    <t>Lab. de Entomologia</t>
  </si>
  <si>
    <t>Lab. de Tecnologia de Produtos Agropecuários</t>
  </si>
  <si>
    <t>Lab. de Biologia</t>
  </si>
  <si>
    <t>Lab. de Zootecnia</t>
  </si>
  <si>
    <t>Reunião/Palestras</t>
  </si>
  <si>
    <t>Sala de Reunião Colegiados</t>
  </si>
  <si>
    <t>Sala de Videoconferência</t>
  </si>
  <si>
    <t>Secretarias de curso</t>
  </si>
  <si>
    <t>Sala de coordenadores</t>
  </si>
  <si>
    <t>Sala de Microscopia</t>
  </si>
  <si>
    <t>Sala de Aula/PósGrad.</t>
  </si>
  <si>
    <t>Secretaria PRODER</t>
  </si>
  <si>
    <t>Secretaria de Pós. Grad.</t>
  </si>
  <si>
    <t>Coordenadores de Pós Grad.</t>
  </si>
  <si>
    <t>Sala de reuniões do Conselho</t>
  </si>
  <si>
    <t>Direção e secretaria CCAB</t>
  </si>
  <si>
    <t>Lab de Manejo e Conservação do Solo e da Água</t>
  </si>
  <si>
    <t>Sala de Repouso</t>
  </si>
  <si>
    <t>Sala de Coleta</t>
  </si>
  <si>
    <t>Sala de Reunião</t>
  </si>
  <si>
    <t>Acesso</t>
  </si>
  <si>
    <t>Rampa</t>
  </si>
  <si>
    <t>Porcelanato</t>
  </si>
  <si>
    <r>
      <t xml:space="preserve">ATUALIZAÇÃO EM 06/08/18: 
&gt; Percebido um erro de não inserção da área das </t>
    </r>
    <r>
      <rPr>
        <b/>
        <sz val="11"/>
        <rFont val="Calibri"/>
        <family val="2"/>
        <scheme val="minor"/>
      </rPr>
      <t>varandas</t>
    </r>
    <r>
      <rPr>
        <sz val="11"/>
        <rFont val="Calibri"/>
        <family val="2"/>
        <scheme val="minor"/>
      </rPr>
      <t xml:space="preserve"> da Residência Universitária. Corresponde a 455,26m² e um erro de não inserção do </t>
    </r>
    <r>
      <rPr>
        <b/>
        <sz val="11"/>
        <rFont val="Calibri"/>
        <family val="2"/>
        <scheme val="minor"/>
      </rPr>
      <t>quantitativo dos alojamentos e banheiros no Quadro de Dedetização</t>
    </r>
    <r>
      <rPr>
        <sz val="11"/>
        <rFont val="Calibri"/>
        <family val="2"/>
        <scheme val="minor"/>
      </rPr>
      <t xml:space="preserve">. Ocassionando um acréscimo de 2456,68m² na área interna.
&gt; Novo quantitativo de limpeza considerando mudança de uso da Residência Universitária, incorporando então área dos alojamentos e dos banheiros destes. </t>
    </r>
  </si>
  <si>
    <t>ATUALIZAÇÃO EM 24/04/2019</t>
  </si>
  <si>
    <r>
      <t xml:space="preserve">ATUALIZAÇÃO EM 04/04/2019:
&gt; Inclusão de quantitativo com previsão de entrega de edificação para </t>
    </r>
    <r>
      <rPr>
        <b/>
        <sz val="11"/>
        <color theme="1"/>
        <rFont val="Calibri"/>
        <family val="2"/>
        <scheme val="minor"/>
      </rPr>
      <t>FAMED em 2021.</t>
    </r>
    <r>
      <rPr>
        <sz val="11"/>
        <color theme="1"/>
        <rFont val="Calibri"/>
        <family val="2"/>
        <scheme val="minor"/>
      </rPr>
      <t xml:space="preserve"> Esse quantitativo pode mudar, uma vez que o projeto ainda não foi concluído e ocorrências durante a obra também podem mudar as áreas.
&gt; Retirada dos quadros com inscrições que totalizavam áreas futuras, mas que já estão em uso.
&gt; Correção de um dado em </t>
    </r>
    <r>
      <rPr>
        <b/>
        <sz val="11"/>
        <color theme="1"/>
        <rFont val="Calibri"/>
        <family val="2"/>
        <scheme val="minor"/>
      </rPr>
      <t>Barbalha na área de limpeza</t>
    </r>
    <r>
      <rPr>
        <sz val="11"/>
        <color theme="1"/>
        <rFont val="Calibri"/>
        <family val="2"/>
        <scheme val="minor"/>
      </rPr>
      <t xml:space="preserve">. O total médico-hospitalar foi contabilizado na coluna médico-hospitalar e na coluna de laboratórios. </t>
    </r>
    <r>
      <rPr>
        <b/>
        <sz val="11"/>
        <color theme="1"/>
        <rFont val="Calibri"/>
        <family val="2"/>
        <scheme val="minor"/>
      </rPr>
      <t>Gerando esse valor duplicado</t>
    </r>
    <r>
      <rPr>
        <sz val="11"/>
        <color theme="1"/>
        <rFont val="Calibri"/>
        <family val="2"/>
        <scheme val="minor"/>
      </rPr>
      <t xml:space="preserve">;
&gt; Correção de somatório de </t>
    </r>
    <r>
      <rPr>
        <b/>
        <sz val="11"/>
        <color theme="1"/>
        <rFont val="Calibri"/>
        <family val="2"/>
        <scheme val="minor"/>
      </rPr>
      <t xml:space="preserve">Área interna </t>
    </r>
    <r>
      <rPr>
        <sz val="11"/>
        <color theme="1"/>
        <rFont val="Calibri"/>
        <family val="2"/>
        <scheme val="minor"/>
      </rPr>
      <t xml:space="preserve">do Campus Barbalha para </t>
    </r>
    <r>
      <rPr>
        <b/>
        <sz val="11"/>
        <color theme="1"/>
        <rFont val="Calibri"/>
        <family val="2"/>
        <scheme val="minor"/>
      </rPr>
      <t>Dedetização</t>
    </r>
    <r>
      <rPr>
        <sz val="11"/>
        <color theme="1"/>
        <rFont val="Calibri"/>
        <family val="2"/>
        <scheme val="minor"/>
      </rPr>
      <t>. Antes não estava acrescido na área interna a</t>
    </r>
    <r>
      <rPr>
        <b/>
        <sz val="11"/>
        <color theme="1"/>
        <rFont val="Calibri"/>
        <family val="2"/>
        <scheme val="minor"/>
      </rPr>
      <t xml:space="preserve"> Área Hospitalar</t>
    </r>
    <r>
      <rPr>
        <sz val="11"/>
        <color theme="1"/>
        <rFont val="Calibri"/>
        <family val="2"/>
        <scheme val="minor"/>
      </rPr>
      <t>.</t>
    </r>
  </si>
  <si>
    <r>
      <rPr>
        <b/>
        <sz val="11"/>
        <color theme="1"/>
        <rFont val="Calibri"/>
        <family val="2"/>
        <scheme val="minor"/>
      </rPr>
      <t>ATUALIZAÇÃO EM 24/04/2019:</t>
    </r>
    <r>
      <rPr>
        <sz val="11"/>
        <color theme="1"/>
        <rFont val="Calibri"/>
        <family val="2"/>
        <scheme val="minor"/>
      </rPr>
      <t xml:space="preserve">
&gt;Em 16/04/2019 foi realizado um levantamento a</t>
    </r>
    <r>
      <rPr>
        <i/>
        <sz val="11"/>
        <color theme="1"/>
        <rFont val="Calibri"/>
        <family val="2"/>
        <scheme val="minor"/>
      </rPr>
      <t>s built</t>
    </r>
    <r>
      <rPr>
        <sz val="11"/>
        <color theme="1"/>
        <rFont val="Calibri"/>
        <family val="2"/>
        <scheme val="minor"/>
      </rPr>
      <t xml:space="preserve"> do novo endereço do Campus Icó: Rua Deputado Valfrido Monteiro, nº 889 – Bairro Novo Centro, Icó-CE. Os dados das áreas de dedetização foram atualizados na planilha. Falta atualizar a área de limpeza das esquadrias.</t>
    </r>
  </si>
  <si>
    <t>EXTERNA</t>
  </si>
  <si>
    <t>FACHADA ENVIDRAÇADA</t>
  </si>
  <si>
    <t>Gabinetes</t>
  </si>
  <si>
    <t>Lab Informática</t>
  </si>
  <si>
    <t>A02</t>
  </si>
  <si>
    <t>A03</t>
  </si>
  <si>
    <t>A04</t>
  </si>
  <si>
    <t>A05</t>
  </si>
  <si>
    <t>A06</t>
  </si>
  <si>
    <t>A07</t>
  </si>
  <si>
    <t>A08</t>
  </si>
  <si>
    <t>A09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</si>
  <si>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</si>
  <si>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</si>
  <si>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</si>
  <si>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</si>
  <si>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</si>
  <si>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</si>
  <si>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</si>
  <si>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</si>
  <si>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</si>
  <si>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</si>
  <si>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</si>
  <si>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</si>
  <si>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</si>
  <si>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</si>
  <si>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</si>
  <si>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</si>
  <si>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</si>
  <si>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</si>
  <si>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</si>
  <si>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</si>
  <si>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</si>
  <si>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</si>
  <si>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</si>
  <si>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</si>
  <si>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</si>
  <si>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</si>
  <si>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</si>
  <si>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</si>
  <si>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</si>
  <si>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</si>
  <si>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</si>
  <si>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B03</t>
  </si>
  <si>
    <t>B04</t>
  </si>
  <si>
    <t>B05B</t>
  </si>
  <si>
    <t>Laboratório de Quimica</t>
  </si>
  <si>
    <t>B05</t>
  </si>
  <si>
    <t>B05D</t>
  </si>
  <si>
    <t>Laboratório de Física</t>
  </si>
  <si>
    <t>B02</t>
  </si>
  <si>
    <t>B02B</t>
  </si>
  <si>
    <t>B02D</t>
  </si>
  <si>
    <t>B01</t>
  </si>
  <si>
    <t>C01</t>
  </si>
  <si>
    <t>C02</t>
  </si>
  <si>
    <t>C03</t>
  </si>
  <si>
    <t>C04</t>
  </si>
  <si>
    <t>C05</t>
  </si>
  <si>
    <t>C06</t>
  </si>
  <si>
    <t>C07</t>
  </si>
  <si>
    <t>C09</t>
  </si>
  <si>
    <t>Gab. Audiovisual</t>
  </si>
  <si>
    <t>C10</t>
  </si>
  <si>
    <t>C11</t>
  </si>
  <si>
    <t>C12</t>
  </si>
  <si>
    <t>C13</t>
  </si>
  <si>
    <t>C14</t>
  </si>
  <si>
    <t>C15</t>
  </si>
  <si>
    <t>C16</t>
  </si>
  <si>
    <t>C17</t>
  </si>
  <si>
    <t>C18</t>
  </si>
  <si>
    <t>C08</t>
  </si>
  <si>
    <t>Coord. de Libras</t>
  </si>
  <si>
    <t>C19</t>
  </si>
  <si>
    <t>C20</t>
  </si>
  <si>
    <t>C21</t>
  </si>
  <si>
    <t>C22</t>
  </si>
  <si>
    <t>C23</t>
  </si>
  <si>
    <t>C24</t>
  </si>
  <si>
    <t>C25</t>
  </si>
  <si>
    <t>C26</t>
  </si>
  <si>
    <t>C27</t>
  </si>
  <si>
    <t>C28</t>
  </si>
  <si>
    <t>C29</t>
  </si>
  <si>
    <t>C30</t>
  </si>
  <si>
    <t>C31</t>
  </si>
  <si>
    <t>Coord. de Filosofia</t>
  </si>
  <si>
    <t>E01</t>
  </si>
  <si>
    <t>E02</t>
  </si>
  <si>
    <t>E03</t>
  </si>
  <si>
    <t>E04</t>
  </si>
  <si>
    <t>Lab. Informática</t>
  </si>
  <si>
    <t>Studio Audiovisual</t>
  </si>
  <si>
    <t>E05</t>
  </si>
  <si>
    <t>E06</t>
  </si>
  <si>
    <t>E07</t>
  </si>
  <si>
    <t>E08</t>
  </si>
  <si>
    <t>E09</t>
  </si>
  <si>
    <t>E10</t>
  </si>
  <si>
    <t>E11</t>
  </si>
  <si>
    <t>E12</t>
  </si>
  <si>
    <t>E13</t>
  </si>
  <si>
    <t>E14</t>
  </si>
  <si>
    <t>E15</t>
  </si>
  <si>
    <t>E16</t>
  </si>
  <si>
    <t>E17</t>
  </si>
  <si>
    <t>Coord. Des</t>
  </si>
  <si>
    <t>Coord. Jornalismo</t>
  </si>
  <si>
    <t>Diretor</t>
  </si>
  <si>
    <t>Gab. Des.</t>
  </si>
  <si>
    <t>E19</t>
  </si>
  <si>
    <t>E20</t>
  </si>
  <si>
    <t>E21</t>
  </si>
  <si>
    <t>E22</t>
  </si>
  <si>
    <t>E23</t>
  </si>
  <si>
    <t>E24</t>
  </si>
  <si>
    <t>E25</t>
  </si>
  <si>
    <t>E30</t>
  </si>
  <si>
    <t>E27</t>
  </si>
  <si>
    <t>E29</t>
  </si>
  <si>
    <t>PROCULT</t>
  </si>
  <si>
    <t xml:space="preserve">Cerimonial </t>
  </si>
  <si>
    <t>F01</t>
  </si>
  <si>
    <t>F02</t>
  </si>
  <si>
    <t>F03</t>
  </si>
  <si>
    <t>F04</t>
  </si>
  <si>
    <t>Laboratório de Jóias</t>
  </si>
  <si>
    <t>Laboratório de Pavimentação</t>
  </si>
  <si>
    <t>Laboratório de Estruturas</t>
  </si>
  <si>
    <t>Laboratório de Materiais de Construção</t>
  </si>
  <si>
    <t>G10</t>
  </si>
  <si>
    <t>G11</t>
  </si>
  <si>
    <t>G12</t>
  </si>
  <si>
    <t>G13</t>
  </si>
  <si>
    <t>G14</t>
  </si>
  <si>
    <t>G15</t>
  </si>
  <si>
    <t>G16</t>
  </si>
  <si>
    <t>G17</t>
  </si>
  <si>
    <t>G18</t>
  </si>
  <si>
    <t>G19</t>
  </si>
  <si>
    <t>G20</t>
  </si>
  <si>
    <t>G09</t>
  </si>
  <si>
    <t>G08</t>
  </si>
  <si>
    <t>G07</t>
  </si>
  <si>
    <t>G06</t>
  </si>
  <si>
    <t>G05</t>
  </si>
  <si>
    <t>G04</t>
  </si>
  <si>
    <t>G03</t>
  </si>
  <si>
    <t>G02</t>
  </si>
  <si>
    <t>G01</t>
  </si>
  <si>
    <t>D05</t>
  </si>
  <si>
    <t>D05D</t>
  </si>
  <si>
    <t>D05B</t>
  </si>
  <si>
    <t>D05A</t>
  </si>
  <si>
    <t>D05C</t>
  </si>
  <si>
    <t>D06</t>
  </si>
  <si>
    <t>D02</t>
  </si>
  <si>
    <t>D02A</t>
  </si>
  <si>
    <t>D02B</t>
  </si>
  <si>
    <t>D02C</t>
  </si>
  <si>
    <t>D02D</t>
  </si>
  <si>
    <t>D04</t>
  </si>
  <si>
    <t>G25</t>
  </si>
  <si>
    <t>Estúdio de Audiovisual de Música</t>
  </si>
  <si>
    <t>G26</t>
  </si>
  <si>
    <t>G27</t>
  </si>
  <si>
    <t xml:space="preserve">Lab. Modelagem </t>
  </si>
  <si>
    <t>G28</t>
  </si>
  <si>
    <t xml:space="preserve">Sala técnico </t>
  </si>
  <si>
    <t>F01B</t>
  </si>
  <si>
    <t>F01A</t>
  </si>
  <si>
    <t>F02A</t>
  </si>
  <si>
    <t>F02B</t>
  </si>
  <si>
    <t>F02C</t>
  </si>
  <si>
    <t>F02D</t>
  </si>
  <si>
    <t>Sala</t>
  </si>
  <si>
    <t>F02E</t>
  </si>
  <si>
    <t>F02F</t>
  </si>
  <si>
    <t>F02G</t>
  </si>
  <si>
    <t>F03A</t>
  </si>
  <si>
    <t>F03B</t>
  </si>
  <si>
    <t>F04A</t>
  </si>
  <si>
    <t>F04B</t>
  </si>
  <si>
    <t>F04C</t>
  </si>
  <si>
    <t>F04D</t>
  </si>
  <si>
    <t>Lab. Costura</t>
  </si>
  <si>
    <t>G29</t>
  </si>
  <si>
    <t>G24</t>
  </si>
  <si>
    <t>G23</t>
  </si>
  <si>
    <t>G22</t>
  </si>
  <si>
    <t>G21</t>
  </si>
  <si>
    <t>Lab. De telejornalismo</t>
  </si>
  <si>
    <t>H01</t>
  </si>
  <si>
    <t>M06</t>
  </si>
  <si>
    <t>M07</t>
  </si>
  <si>
    <t>M08</t>
  </si>
  <si>
    <t>M09</t>
  </si>
  <si>
    <t>Direção</t>
  </si>
  <si>
    <t>M206</t>
  </si>
  <si>
    <t>M207</t>
  </si>
  <si>
    <t>M208</t>
  </si>
  <si>
    <t>M209</t>
  </si>
  <si>
    <t>M210</t>
  </si>
  <si>
    <t>M211</t>
  </si>
  <si>
    <t>M212</t>
  </si>
  <si>
    <t>M213</t>
  </si>
  <si>
    <t>M214</t>
  </si>
  <si>
    <t>M215</t>
  </si>
  <si>
    <t>M216</t>
  </si>
  <si>
    <t>SEACE</t>
  </si>
  <si>
    <t>i401</t>
  </si>
  <si>
    <t>i402</t>
  </si>
  <si>
    <t>i403</t>
  </si>
  <si>
    <t>i404</t>
  </si>
  <si>
    <t>i405</t>
  </si>
  <si>
    <t>i406</t>
  </si>
  <si>
    <t>i407</t>
  </si>
  <si>
    <t>i301</t>
  </si>
  <si>
    <t>i302</t>
  </si>
  <si>
    <t>i303</t>
  </si>
  <si>
    <t>i304</t>
  </si>
  <si>
    <t>i305</t>
  </si>
  <si>
    <t>i201</t>
  </si>
  <si>
    <t>i202</t>
  </si>
  <si>
    <t>i203</t>
  </si>
  <si>
    <t>i204</t>
  </si>
  <si>
    <t>i205</t>
  </si>
  <si>
    <t>i101</t>
  </si>
  <si>
    <t>i102</t>
  </si>
  <si>
    <t>i103</t>
  </si>
  <si>
    <t>i104</t>
  </si>
  <si>
    <t>i105</t>
  </si>
  <si>
    <t>N01</t>
  </si>
  <si>
    <t>N01A</t>
  </si>
  <si>
    <t>N01B</t>
  </si>
  <si>
    <t>N01C</t>
  </si>
  <si>
    <t>Laboratório de Cerâmica</t>
  </si>
  <si>
    <t>Sala de moinho</t>
  </si>
  <si>
    <t>N01D</t>
  </si>
  <si>
    <t>Tratamento térmico- metais</t>
  </si>
  <si>
    <t xml:space="preserve">Laboratório de Metais </t>
  </si>
  <si>
    <t>N02A</t>
  </si>
  <si>
    <t>N02B</t>
  </si>
  <si>
    <t>N02</t>
  </si>
  <si>
    <t>N02C</t>
  </si>
  <si>
    <t>N03A</t>
  </si>
  <si>
    <t>N03B</t>
  </si>
  <si>
    <t>N03C</t>
  </si>
  <si>
    <t>N03D</t>
  </si>
  <si>
    <t>N03F</t>
  </si>
  <si>
    <t>N03E</t>
  </si>
  <si>
    <t>N03G</t>
  </si>
  <si>
    <t>N03H</t>
  </si>
  <si>
    <t>N03i</t>
  </si>
  <si>
    <t>Impacto - ensaios</t>
  </si>
  <si>
    <t>Microdurômetro - ensaios</t>
  </si>
  <si>
    <t>Flexão - ensaios</t>
  </si>
  <si>
    <t>Ensaio universal - ensaios</t>
  </si>
  <si>
    <t>Sala de aula - ensaios</t>
  </si>
  <si>
    <t>Câmara úmida - solos</t>
  </si>
  <si>
    <t>N04</t>
  </si>
  <si>
    <t>N04A</t>
  </si>
  <si>
    <t>N04B</t>
  </si>
  <si>
    <t>N04C</t>
  </si>
  <si>
    <t>N04D</t>
  </si>
  <si>
    <t>DIARI/SEDOP</t>
  </si>
  <si>
    <t>L01</t>
  </si>
  <si>
    <t>L01C</t>
  </si>
  <si>
    <t>L01D</t>
  </si>
  <si>
    <t>L01A</t>
  </si>
  <si>
    <t>L01B</t>
  </si>
  <si>
    <t>L02</t>
  </si>
  <si>
    <t>L02A</t>
  </si>
  <si>
    <t>L02B</t>
  </si>
  <si>
    <t>L03A</t>
  </si>
  <si>
    <t>L03B</t>
  </si>
  <si>
    <t>L03C</t>
  </si>
  <si>
    <t>L03D</t>
  </si>
  <si>
    <t>L03E</t>
  </si>
  <si>
    <t>L03F</t>
  </si>
  <si>
    <t>L03G</t>
  </si>
  <si>
    <t>L03H</t>
  </si>
  <si>
    <t>L03K</t>
  </si>
  <si>
    <t>L03i</t>
  </si>
  <si>
    <t>L03J</t>
  </si>
  <si>
    <t>J01</t>
  </si>
  <si>
    <t>J02</t>
  </si>
  <si>
    <t>J03</t>
  </si>
  <si>
    <t>E21A</t>
  </si>
  <si>
    <t>Controle de Som</t>
  </si>
  <si>
    <t xml:space="preserve">SCI </t>
  </si>
  <si>
    <t>Coordenação de Biblioteconomia</t>
  </si>
  <si>
    <t>Coordenação de Administração Pública</t>
  </si>
  <si>
    <t>Coordenação de Ciências Contábeis</t>
  </si>
  <si>
    <t>Coordenação de Administração</t>
  </si>
  <si>
    <t>i306</t>
  </si>
  <si>
    <t>K208</t>
  </si>
  <si>
    <t>Sala de balança</t>
  </si>
  <si>
    <t>OCIOSIDADE</t>
  </si>
  <si>
    <t>Ociosidade</t>
  </si>
  <si>
    <t>Não ocioso</t>
  </si>
  <si>
    <t>RESIDÊN.UNIV.</t>
  </si>
  <si>
    <t>QUADRA 1</t>
  </si>
  <si>
    <t>QUADRA 2</t>
  </si>
  <si>
    <t>RIP</t>
  </si>
  <si>
    <t>Pendente</t>
  </si>
  <si>
    <t>AVALIAÇÃO (R$)</t>
  </si>
  <si>
    <t>PASSARELA - Bloco K</t>
  </si>
  <si>
    <t>PASSARELA - Bloco M</t>
  </si>
  <si>
    <t>ÁREA CONSTRUÍDA (M2)</t>
  </si>
  <si>
    <t>ANO DE ENTREGA</t>
  </si>
  <si>
    <t>DESCRIÇÃO FUNCIONAL</t>
  </si>
  <si>
    <t>CAMPUS</t>
  </si>
  <si>
    <t>LIXEIRA FRONTAL</t>
  </si>
  <si>
    <t>JUAZ NORTE</t>
  </si>
  <si>
    <t>QUANT. DE PAVIMENTOS</t>
  </si>
  <si>
    <t>QUADRA POLIESPORTIVA</t>
  </si>
  <si>
    <t>QUADRA POLIESPORTIVA 1</t>
  </si>
  <si>
    <t>QUADRA POLIESPORTIVA 2</t>
  </si>
  <si>
    <t>PÓRTICO e PASSARELA - Pórtico até Bloco i</t>
  </si>
  <si>
    <t>GUARITA - estacionamento 1</t>
  </si>
  <si>
    <t>GUARITA - entrada</t>
  </si>
  <si>
    <t>LIXEIRA Residência</t>
  </si>
  <si>
    <t>EDIFICAÇÃO ÚNICA + GUARITA</t>
  </si>
  <si>
    <t>2008-2016</t>
  </si>
  <si>
    <t>2012-2017</t>
  </si>
  <si>
    <t>Unidade Acadêmica que gerencia: Centro de Ciências e Tecnologia (CCT).
Possui salas de aula, unidades administrativas do CCT, gabinetes de professores e laboratório de informática.</t>
  </si>
  <si>
    <t>Unidade Acadêmica que gerencia: Centro de Ciências e Tecnologia (CCT).
Possui 2 laboratórios acadêmicos do CCT.</t>
  </si>
  <si>
    <t>Unidade Acadêmica que gerencia: Instituto Interdisciplinar de Sociedade, Cultura e Artes (IISCA).
Possui salas de aula, unidades administrativas do IISCA, gabinetes de professores e laboratórios acadêmicos.</t>
  </si>
  <si>
    <t>Unidade Acadêmica que gerencia: Centro de Ciências e Tecnologia (CCT).
Possui 4 laboratórios acadêmicos do CCT.</t>
  </si>
  <si>
    <t>Unidade Acadêmica que gerencia: Instituto Interdisciplinar de Sociedade, Cultura e Artes (IISCA).
Possui salas de aula, unidades administrativas do IISCA, gabinetes de professores, laboratórios acadêmicos e um miniauditório para até 100 assentos.</t>
  </si>
  <si>
    <t>Bloco com 3 pavimentos que abrigam setores administrativos: PROAD, PROPLAN, PRAE, PROEN, DINFRA, DCOM, DTI, DLA e SCI. Um pavimento de biblioteca, um pavimento para restaurante e um pavimento para 5 salas de aula.</t>
  </si>
  <si>
    <t>RIP (Nº)</t>
  </si>
  <si>
    <t>Bloco com 3 pavimentos que abrigam setores administrativos: PROCULT, PROEX, PRPI e PROGEP. Um pavimento com laboratórios de informática e 2 pavimentos com salas de aula.</t>
  </si>
  <si>
    <t>Bloco de Almoxarifado.</t>
  </si>
  <si>
    <t>Bloco com 3 laboratórios acadêmicos do IISCA e do CCT.</t>
  </si>
  <si>
    <t>Bloco com um auditório com capacidade de 296 poltronas, um laboratório acadêmico e uma cantina.</t>
  </si>
  <si>
    <t>Unidade Acadêmica que gerencia:  Centro de Ciências Sociais Aplicadas (CCSA).
Bloco com 3 pavimentos de salas de aula, 1 pavimento com salas de grupos de pesquisa do CCSA e 2 pavimentos com gabinetes de professores e salas administrativas da unidade acadêmica.</t>
  </si>
  <si>
    <t>Possui 4 laboratórios acadêmicos do IISCA e do CCT.</t>
  </si>
  <si>
    <t>Possui 2 pavimentos com salas de Centros Acadêmicos (CA) estudantis, grupos de pesquisa e grupos de extensão. E um pavimento para alojamento de estudantes em trânsito.</t>
  </si>
  <si>
    <t>Quadra para atividades e eventos esportivos.</t>
  </si>
  <si>
    <t>Passarela coberta para trânsito entre blocos e espaço de convivência.</t>
  </si>
  <si>
    <t>Serviços de portaria e recepção. Passarela coberta para trânsito entre blocos e espaço de convivência.</t>
  </si>
  <si>
    <t>Guarita para posto de vigilância.</t>
  </si>
  <si>
    <t>Lixeira.</t>
  </si>
  <si>
    <t>Bloco com setores administrativos.</t>
  </si>
  <si>
    <t>Bloco com salas de Centros Acadêmicos (CA).</t>
  </si>
  <si>
    <t>Bloco com 6 laboratórios acadêmicos.</t>
  </si>
  <si>
    <t>Bloco do Restaurante Universitário, copa e cantina.</t>
  </si>
  <si>
    <t>Bloco com 4 laboratórios acadêmicos e um espaço para herbário.</t>
  </si>
  <si>
    <t>Bloco com um laboratório acadêmico e uma oficina.</t>
  </si>
  <si>
    <t>Bloco com um pavimento de biblioteca, um pavimento com 2 laboratórios de informática e 2 salas de aula, um pavimento com 5 salas de aula e 3 pavimentos para gabinetes de professores e ambientes administrativos do CCAB.</t>
  </si>
  <si>
    <t>Passarela coberta para trânsito entre blocos.</t>
  </si>
  <si>
    <t>Prédio antigo da década de 50. Abriga setores administrativos da Faculdade de Medicina (FAMED), salas de aula, laboratórios acadêmicos, biblioteca, auditório para até 240 assentos, ambulatórios de atendimento, gabinetes de professores e Serviço de Verificação de Óbito (SVO) regional.</t>
  </si>
  <si>
    <t>Biotério para práticas de atividades acadêmicas da FAMED.</t>
  </si>
  <si>
    <t>Centro Acadêmico (CA) estudantil da FAMED.</t>
  </si>
  <si>
    <t>Restaurante Universitário.</t>
  </si>
  <si>
    <t>Área construída para subestação de energia.</t>
  </si>
  <si>
    <t>PATRIMÔNIO IMOBILIÁRIO DA UNIVERSIDADE FEDERAL DO CARIRI</t>
  </si>
  <si>
    <t>EDIFICAÇÕES</t>
  </si>
  <si>
    <t>TERRENOS</t>
  </si>
  <si>
    <t>ENDEREÇO</t>
  </si>
  <si>
    <t>PRÓPRIO/ CEDIDO / ALUGADO</t>
  </si>
  <si>
    <t>PRÓPRIO</t>
  </si>
  <si>
    <t>CEDIDO</t>
  </si>
  <si>
    <t>ORIGEM</t>
  </si>
  <si>
    <t>Ocioso</t>
  </si>
  <si>
    <t>Av. Tenente Raimundo Rocha, 1639. Bairro Cidade Universitária.
Juazeiro do Norte-CE, CEP 63048-080.</t>
  </si>
  <si>
    <t>Av. Tenente Raimundo Rocha, 1639. Bairro Cidade Universitária.
Juazeiro do Norte-CE, CEP 63048-080.
Terreno imediatamente atrás do Campus.</t>
  </si>
  <si>
    <t>DESTINAÇÃO PLANEJADA</t>
  </si>
  <si>
    <t>Reitoria e edificações para expansão de oferta de cursos</t>
  </si>
  <si>
    <t>Restaurante, biblioteca e edificações para expansão de oferta de cursos</t>
  </si>
  <si>
    <t>Hospital veterinário e museu de paleontologia</t>
  </si>
  <si>
    <t>Pode expandir</t>
  </si>
  <si>
    <t>Não suporta expansão</t>
  </si>
  <si>
    <t>CAPACIDADE DE EXPANSÃO DAS EDIFICAÇÕES</t>
  </si>
  <si>
    <t>TOTAL POR CAMPUS - ÁREA CONSTRUÍDA (M2)</t>
  </si>
  <si>
    <t>Rua Ícaro de Sousa Moreira, 126. Bairro Muriti.
Crato - CE, CEP 63130-025.</t>
  </si>
  <si>
    <t>Rua Divino Salvador, 284. Bairro Alto do Rosário.
Barbalha-CE, CEP 63180-000.</t>
  </si>
  <si>
    <t>R. Olegário Emidio de Araujo, s/n - Centro.
Brejo Santo - CE, CEP 63260-000.</t>
  </si>
  <si>
    <t>PROPRIETÁRIO</t>
  </si>
  <si>
    <t>UFCA</t>
  </si>
  <si>
    <t>GOVERNO DO ESTADO DO CEARÁ</t>
  </si>
  <si>
    <t>Doado pela Universidade Federal do Ceará (UFC)</t>
  </si>
  <si>
    <t>DATA DE POSSE</t>
  </si>
  <si>
    <t>SECRETARIA DO PLANEJAMENTO E GESTÃO DO ESTADO DO CEARÁ (SEPLAG/CE)</t>
  </si>
  <si>
    <t>CEDIDO POR TERCEIRO</t>
  </si>
  <si>
    <t>Cedido até 31/12/2036</t>
  </si>
  <si>
    <t>Formalização pendente</t>
  </si>
  <si>
    <t xml:space="preserve">Cedido pelo Governo do Ceará </t>
  </si>
  <si>
    <t>Universidade Federal do Ceará (UFC)</t>
  </si>
  <si>
    <t>Saguão</t>
  </si>
  <si>
    <t>OCUPAÇÃO (Nº DE PESSOAS)</t>
  </si>
  <si>
    <t>Lab. De Tecnologia de Alimentos</t>
  </si>
  <si>
    <t>Sala do monitor</t>
  </si>
  <si>
    <t>Câmara Fria</t>
  </si>
  <si>
    <t>RU</t>
  </si>
  <si>
    <t>Área de Eventos</t>
  </si>
  <si>
    <t>Estúdio de Gravação</t>
  </si>
  <si>
    <t>Laboratório de apoio</t>
  </si>
  <si>
    <t>Rack de dados e Reunião</t>
  </si>
  <si>
    <t>Sala do diretor</t>
  </si>
  <si>
    <t>Sala de descanso</t>
  </si>
  <si>
    <t>WC 1</t>
  </si>
  <si>
    <t>WC 2</t>
  </si>
  <si>
    <t>WC 3</t>
  </si>
  <si>
    <t>WC 4</t>
  </si>
  <si>
    <t>WC 5</t>
  </si>
  <si>
    <t>QUANTITATIVO DE ÁREAS  - CAMPUS ICÓ - PRÉDIO DO SPU</t>
  </si>
  <si>
    <t>Pintura acrílica</t>
  </si>
  <si>
    <t>Pintura acrílica sobre laje</t>
  </si>
  <si>
    <t xml:space="preserve">Cerâmica branca brilhante 33 x 45 cm </t>
  </si>
  <si>
    <t xml:space="preserve">Cerâmica branca acetinada 45 x 45 cm </t>
  </si>
  <si>
    <t>Porcelanato bege brilhante 50 x 50 cm</t>
  </si>
  <si>
    <t>Piso cimentado externo</t>
  </si>
  <si>
    <t>Calçada externa</t>
  </si>
  <si>
    <t>Quantidade m²</t>
  </si>
  <si>
    <t>Almoxarifados/galpões</t>
  </si>
  <si>
    <t>Oficinas</t>
  </si>
  <si>
    <t>Áreas com espaços livres - saguão, hall e salão</t>
  </si>
  <si>
    <t>ÁREA EXTERNA</t>
  </si>
  <si>
    <t>Pisos pavimentados adjacentes/contíguos às edificações; Pátios e áreas verdes.</t>
  </si>
  <si>
    <t>Varrição de passeios e arruamentos</t>
  </si>
  <si>
    <t>Coleta de detritos em pátios e áreas verdes com frequência diária</t>
  </si>
  <si>
    <t>ESQUADRIA EXTERNA</t>
  </si>
  <si>
    <t>Face externa com exposição a situação de risco</t>
  </si>
  <si>
    <t>Face Interna ou face externa sem exposição a situação de risco</t>
  </si>
  <si>
    <t>ÁREA MÉDICA</t>
  </si>
  <si>
    <t>Circulação esquerda</t>
  </si>
  <si>
    <t>Circulação direita</t>
  </si>
  <si>
    <t>ESQUADRIAS</t>
  </si>
  <si>
    <t>Entrada</t>
  </si>
  <si>
    <t>Espaços 6 e 7</t>
  </si>
  <si>
    <t>Janela térrea</t>
  </si>
  <si>
    <t>J1</t>
  </si>
  <si>
    <t>J2</t>
  </si>
  <si>
    <t>J3</t>
  </si>
  <si>
    <t>J4</t>
  </si>
  <si>
    <t>A</t>
  </si>
  <si>
    <t>B</t>
  </si>
  <si>
    <t>C</t>
  </si>
  <si>
    <t>D</t>
  </si>
  <si>
    <t>A01a</t>
  </si>
  <si>
    <t>A01b</t>
  </si>
  <si>
    <t>Áre de trabalho individual</t>
  </si>
  <si>
    <t>Área útil</t>
  </si>
  <si>
    <t>Área de trabalho coletivo</t>
  </si>
  <si>
    <t>Coletivo</t>
  </si>
  <si>
    <t>Área privativa</t>
  </si>
  <si>
    <t>Área comum</t>
  </si>
  <si>
    <t>Área de escritórios</t>
  </si>
  <si>
    <t>Área de Apoio</t>
  </si>
  <si>
    <t>1º ETAPA</t>
  </si>
  <si>
    <t>Apoio 1</t>
  </si>
  <si>
    <t>Específica</t>
  </si>
  <si>
    <t>Área Técnica</t>
  </si>
  <si>
    <t>Área Específica</t>
  </si>
  <si>
    <t>2º ETAPA</t>
  </si>
  <si>
    <t>Passarela - 1ª etapa</t>
  </si>
  <si>
    <t>Passarela - 2ª etapa</t>
  </si>
  <si>
    <t>Passarela - 3ª etapa</t>
  </si>
  <si>
    <t>Passarela - 4ª etapa</t>
  </si>
  <si>
    <t>Passarela - 5ª etapa</t>
  </si>
  <si>
    <t>Passarela</t>
  </si>
  <si>
    <t>Pórtico</t>
  </si>
  <si>
    <t>Rampa e Escada</t>
  </si>
  <si>
    <t>TÉRREO</t>
  </si>
  <si>
    <t>Praça Interna</t>
  </si>
  <si>
    <t>Praça Externa</t>
  </si>
  <si>
    <t>Área Estacionamento</t>
  </si>
  <si>
    <t>Vagas comuns</t>
  </si>
  <si>
    <t>Vagas privativas</t>
  </si>
  <si>
    <t>POPULAÇÃO TOTAL DO IMÓVEL</t>
  </si>
  <si>
    <t>POPULAÇÃO PRINCIPAL</t>
  </si>
  <si>
    <t>POSTOS DE TRABALHO</t>
  </si>
  <si>
    <t>POPULAÇÃO PRINCIPAL TOTAL</t>
  </si>
  <si>
    <t xml:space="preserve">INTEGRAL </t>
  </si>
  <si>
    <t>REDUZIDO</t>
  </si>
  <si>
    <t xml:space="preserve">POPULAÇÃO DE APOIO </t>
  </si>
  <si>
    <t>POPULAÇÃO EM ÁREAS ESPECÍFICAS</t>
  </si>
  <si>
    <t>Depósito de material de limpeza</t>
  </si>
  <si>
    <t xml:space="preserve">Depósito de material de limpeza </t>
  </si>
  <si>
    <t>6 L.V.MP.</t>
  </si>
  <si>
    <t>2 Col. terc</t>
  </si>
  <si>
    <t>1 estagiário</t>
  </si>
  <si>
    <t>7 motoristas</t>
  </si>
  <si>
    <t>4 Col. terc</t>
  </si>
  <si>
    <t>3º ETAPA</t>
  </si>
  <si>
    <t>E</t>
  </si>
  <si>
    <t>F</t>
  </si>
  <si>
    <t>1 Col. terc</t>
  </si>
  <si>
    <t>4º ETAPA</t>
  </si>
  <si>
    <t>G</t>
  </si>
  <si>
    <t>H</t>
  </si>
  <si>
    <t>5º ETAPA</t>
  </si>
  <si>
    <t>7 L.V.MP.</t>
  </si>
  <si>
    <t>16 Col. terc</t>
  </si>
  <si>
    <t>I</t>
  </si>
  <si>
    <t>J</t>
  </si>
  <si>
    <t>6º ETAPA</t>
  </si>
  <si>
    <t>19 estagiários</t>
  </si>
  <si>
    <t>2 Col. Terc.</t>
  </si>
  <si>
    <t>K</t>
  </si>
  <si>
    <t>L</t>
  </si>
  <si>
    <t>22 estagiários</t>
  </si>
  <si>
    <t>8 L.V.MP.</t>
  </si>
  <si>
    <t>12 L.V.MP.</t>
  </si>
  <si>
    <t>23 Col. terc</t>
  </si>
  <si>
    <t>7º ETAPA</t>
  </si>
  <si>
    <t>M</t>
  </si>
  <si>
    <t>N</t>
  </si>
  <si>
    <t>QUADRAS</t>
  </si>
  <si>
    <t>CIRCULAÇÃO</t>
  </si>
  <si>
    <t>EDIFICAÇÃO ÚNICA</t>
  </si>
  <si>
    <t>Edificação única</t>
  </si>
  <si>
    <t>RESIDÊNCIA ACADÊMICA</t>
  </si>
  <si>
    <t>Resid. Acadêmica</t>
  </si>
  <si>
    <t>Q. 1</t>
  </si>
  <si>
    <t>Q. 2</t>
  </si>
  <si>
    <t>Ed. Única</t>
  </si>
  <si>
    <t>Dormitório</t>
  </si>
  <si>
    <t>ÚNICA</t>
  </si>
  <si>
    <t>11 L.V.MP.</t>
  </si>
  <si>
    <t>5 estagiário</t>
  </si>
  <si>
    <t>EDIFICAÇÃO CEDIDA</t>
  </si>
  <si>
    <t>Edificação Cedida</t>
  </si>
  <si>
    <t>CEDIDA</t>
  </si>
  <si>
    <t>Laboratório</t>
  </si>
  <si>
    <t>2 L.V.MP.</t>
  </si>
  <si>
    <t>3 Col. terc</t>
  </si>
  <si>
    <t>5 L.V.MP.</t>
  </si>
  <si>
    <t>Outros</t>
  </si>
  <si>
    <t>OUTROS</t>
  </si>
  <si>
    <t>Outro, DESCRIÇÃO: Corresponde a Circulação e área de Barrilete</t>
  </si>
  <si>
    <t>Outros, DESCRIÇÃO: Corresponde a Circulação e área de Subestação de energia.</t>
  </si>
  <si>
    <t>Outros, DESCRIÇÃO: Corresponde a circulação</t>
  </si>
  <si>
    <t>Outros, DESCRIÇÃO: Corresponde a área da passarela da 1º Etapa onde possui circulação, rampa, escada e área de apoio.</t>
  </si>
  <si>
    <t>Outros, DESCRIÇÃO: Corresponde a área da passarela da 8º Etapa onde possui circulação, rampa e escada.</t>
  </si>
  <si>
    <t>Outros, DESCRIÇÃO: Corresponde a área da passarela da 7º Etapa onde possui circulação, rampa e escada.</t>
  </si>
  <si>
    <t>Outros, DESCRIÇÃO: Corresponde a área da passarela da 6º Etapa onde possui circulação, rampa e escada.</t>
  </si>
  <si>
    <t>Outros, DESCRIÇÃO: Corresponde a área da passarela da 5º Etapa onde possui circulação, rampa e escada.</t>
  </si>
  <si>
    <t>Outros, DESCRIÇÃO: Corresponde a área da passarela da 4º Etapa onde possui circulação, rampa, escada e área de apoio.</t>
  </si>
  <si>
    <t>Outros, DESCRIÇÃO: Corresponde a área da passarela da 3º Etapa onde possui circulação, rampa, escada e área de apoio.</t>
  </si>
  <si>
    <t>Outros, DESCRIÇÃO: Corresponde a área da passarela da 2º Etapa onde possui circulação, rampa, escada e área de apoio.</t>
  </si>
  <si>
    <t>Área Construída</t>
  </si>
  <si>
    <t>Lixeira</t>
  </si>
  <si>
    <t>2795,07m²</t>
  </si>
  <si>
    <t>3098,40m²</t>
  </si>
  <si>
    <t>5230,60m²</t>
  </si>
  <si>
    <t>Residência Acadêmica</t>
  </si>
  <si>
    <t>2413,24m²</t>
  </si>
  <si>
    <t>3737,55m²</t>
  </si>
  <si>
    <t>Área Terreno (m²)</t>
  </si>
  <si>
    <t>Área Construída (m²)</t>
  </si>
  <si>
    <t>Bloco Administrativo - A</t>
  </si>
  <si>
    <t>Área técnica</t>
  </si>
  <si>
    <t>Bloco Gabinetes - B</t>
  </si>
  <si>
    <t>Refeitório - D</t>
  </si>
  <si>
    <t>Bloco Laboratórios I - C</t>
  </si>
  <si>
    <t>Bloco Laboratórios II - E</t>
  </si>
  <si>
    <t>Laboratórios II</t>
  </si>
  <si>
    <t>Laboratórios I</t>
  </si>
  <si>
    <t>Bloco Galpão - F</t>
  </si>
  <si>
    <t>Bloco Multiuso - G</t>
  </si>
  <si>
    <t>Multiuso</t>
  </si>
  <si>
    <t>Bloco G</t>
  </si>
  <si>
    <t>Bloco F</t>
  </si>
  <si>
    <t>Bloco E</t>
  </si>
  <si>
    <t>Bloco D</t>
  </si>
  <si>
    <t>Bloco C</t>
  </si>
  <si>
    <t>Bloco B</t>
  </si>
  <si>
    <t>Bloco A</t>
  </si>
  <si>
    <t>Restante do terreno</t>
  </si>
  <si>
    <t>Bloco Admin.</t>
  </si>
  <si>
    <t>2 motoristas</t>
  </si>
  <si>
    <t>4 L.V.MP.</t>
  </si>
  <si>
    <t>2 estagiário</t>
  </si>
  <si>
    <t>Guarita e Estacionamento</t>
  </si>
  <si>
    <t>Guarita e Estac.</t>
  </si>
  <si>
    <t>1 L.V.MP.</t>
  </si>
  <si>
    <t xml:space="preserve">Rampa </t>
  </si>
  <si>
    <t>URBANIZAÇÃO 1</t>
  </si>
  <si>
    <t>URBAN. 1</t>
  </si>
  <si>
    <t>URB. 1</t>
  </si>
  <si>
    <t>URB. 2</t>
  </si>
  <si>
    <t>URBANIZAÇÃO 2</t>
  </si>
  <si>
    <t>Guar. E Est.</t>
  </si>
  <si>
    <t>QUADRA</t>
  </si>
  <si>
    <t>Terreno</t>
  </si>
  <si>
    <t>Restante do Terreno</t>
  </si>
  <si>
    <t>Outros, DESCRIÇÃO: Corresponde a área de circulação de acesso aos Blocos.</t>
  </si>
  <si>
    <t>Outros, DESCRIÇÃO: Corresponde a área do Bloco Laboratórios II onde possui circulação.</t>
  </si>
  <si>
    <t>Outros, DESCRIÇÃO: Corresponde a área do Bloco Multiuso onde possui circulação, elevadores, rampa e escada.</t>
  </si>
  <si>
    <t>Outros, DESCRIÇÃO: Corresponde a área do Bloco Quadra onde possui circulação e rampa.</t>
  </si>
  <si>
    <t>Outros, DESCRIÇÃO: Corresponde a área de circulação do Bloco Gabinetes.</t>
  </si>
  <si>
    <t>Outros, DESCRIÇÃO: Corresponde a área de circulação do Bloco Administrativo.</t>
  </si>
  <si>
    <t>Outros, DESCRIÇÃO: Corresponde a área de circulação do Bloco Laboratório I.</t>
  </si>
  <si>
    <t>Outros, DESCRIÇÃO: Corresponde a área de circulação do Bloco Refeitório.</t>
  </si>
  <si>
    <t>Outros, DESCRIÇÃO: Corresponde a área de circulação do Bloco Galpão.</t>
  </si>
  <si>
    <t xml:space="preserve">CAMPUS CRATO - POPULAÇÃO TOTAL DO IMÓVEL </t>
  </si>
  <si>
    <t>4º ETAPA - 4.1</t>
  </si>
  <si>
    <t>4º ETAPA - 4.2</t>
  </si>
  <si>
    <t>OBS: Bloco H mais a ETE</t>
  </si>
  <si>
    <t>2703,89m²</t>
  </si>
  <si>
    <t>4325,78m²</t>
  </si>
  <si>
    <t>6086,67m²</t>
  </si>
  <si>
    <t>CMP/PROAD (Divisão de Patrimônio)</t>
  </si>
  <si>
    <t>CMP/PROAD (Divisão de Materiais)</t>
  </si>
  <si>
    <t>CMP/PROAD (Coordenador)</t>
  </si>
  <si>
    <t>J04</t>
  </si>
  <si>
    <t>RU- EXCLUÍDO DAQUI</t>
  </si>
  <si>
    <t xml:space="preserve">Subestação de energia </t>
  </si>
  <si>
    <t>CLÍNICA ESCOLA</t>
  </si>
  <si>
    <t>área do terreno total</t>
  </si>
  <si>
    <t>BLOCO PRINCIPAL</t>
  </si>
  <si>
    <t xml:space="preserve"> Bloco Administrativo - A</t>
  </si>
  <si>
    <t>3 L.V.MP.</t>
  </si>
  <si>
    <t>Gabinetes (Nelson/Camila/Ramon)</t>
  </si>
  <si>
    <t>Gabinetes (Coordenação de Engenharia Civil)</t>
  </si>
  <si>
    <t>Sala de reunião</t>
  </si>
  <si>
    <t>Thiago Braga/Luiz Henrique/Carlos Vinicius</t>
  </si>
  <si>
    <t xml:space="preserve">incluir divisória de gesso entre as salas A05 e A06  </t>
  </si>
  <si>
    <t>Secretaria CCT</t>
  </si>
  <si>
    <t>converter em gabinete (pois Jr. E Carol foram p/bloco A e virão 4 prof. EAD)</t>
  </si>
  <si>
    <t>Ana Veronica</t>
  </si>
  <si>
    <t>Placido/Silvana</t>
  </si>
  <si>
    <t xml:space="preserve">Erica/Clarice </t>
  </si>
  <si>
    <t>Francisco Perira/Francisco de Assis</t>
  </si>
  <si>
    <t>Lucimar</t>
  </si>
  <si>
    <t>Celme</t>
  </si>
  <si>
    <t>Ary Ferreira</t>
  </si>
  <si>
    <t>Vicente Helano</t>
  </si>
  <si>
    <t xml:space="preserve">Dimas </t>
  </si>
  <si>
    <t xml:space="preserve">Juscelino </t>
  </si>
  <si>
    <t xml:space="preserve">Valdines/ Leandro </t>
  </si>
  <si>
    <t>Coordenação de Engenharia de Materiais</t>
  </si>
  <si>
    <t>José Timbó</t>
  </si>
  <si>
    <t xml:space="preserve">Ledjane </t>
  </si>
  <si>
    <t>Thiago Bessa/ Luana Batista</t>
  </si>
  <si>
    <t>Carol</t>
  </si>
  <si>
    <t>Junior</t>
  </si>
  <si>
    <t>Steve/Valdir/Calvi</t>
  </si>
  <si>
    <t>Roslda/Paulo Renato/</t>
  </si>
  <si>
    <t>Alixandre/Vinicius</t>
  </si>
  <si>
    <t>Lab Quim 1</t>
  </si>
  <si>
    <t>Leandro</t>
  </si>
  <si>
    <t>Lab Quim 2</t>
  </si>
  <si>
    <t>Lab Quim 3</t>
  </si>
  <si>
    <t>Mielle/Santiago</t>
  </si>
  <si>
    <t>Mario</t>
  </si>
  <si>
    <t>Antonio</t>
  </si>
  <si>
    <t>Laboratório de Informática - Letras Libras</t>
  </si>
  <si>
    <t>Laboratório de Práticas de Letras Libras</t>
  </si>
  <si>
    <t>Gabinete - Letras Libras</t>
  </si>
  <si>
    <t>Atendimento Psicológico</t>
  </si>
  <si>
    <t>Serviço de Psiquiatria</t>
  </si>
  <si>
    <t>Serviço de Pedagogia</t>
  </si>
  <si>
    <t>Sala do Psicólogo</t>
  </si>
  <si>
    <t>Depósito do IISCA</t>
  </si>
  <si>
    <t>Gabinete Design - Adriana Barroso Botelho</t>
  </si>
  <si>
    <t>Gabinete - Amanda Teixeira da Silva;  e Rodrigo Capistrano Camurça</t>
  </si>
  <si>
    <t>Gabinete - José Anderson Freire Sandes; e Luis Celestino de França Júnior</t>
  </si>
  <si>
    <t>Gabinete Jornalismo - Lígia Coeli Silva Rodrigues</t>
  </si>
  <si>
    <t>Gab. Jornalismo - Ricardo Rigaud Salmito; e Francisco das Chagas Alexandre Nunes de Sousa</t>
  </si>
  <si>
    <t>Gab. Jornalismo - Marcelo Eduardo Leite; e Edwin dos Santos Carvalho</t>
  </si>
  <si>
    <t>Laboratório de Expressão Gráfica de Jornalismo</t>
  </si>
  <si>
    <t>Lab. De Ensino em Filosofia</t>
  </si>
  <si>
    <t>Lab. De Pesquisa em Ciência e Filosofia</t>
  </si>
  <si>
    <t>Gab. Filosofia - Camila Prado; Maria Célia Santos; Nilo César; José Roberto</t>
  </si>
  <si>
    <t>Gab. Jornalismo - Juliana Lotif, Joubert Arrais, Elane Abreu e Tiago Coutinho</t>
  </si>
  <si>
    <t>Gab. Filosofia - José Gladstone; Luiz Manoel; Marcius Aristóteles; Valdetonio Pereira</t>
  </si>
  <si>
    <t>Gab. Filosofia - Francisco José; Maxwell Morais; Emanuel Marcondes; Regiane Lorenzetti</t>
  </si>
  <si>
    <t>Gab. Filosofia - Ricardo Dias; Fernando Sepe; Ivânio Lopes; Italo Lins</t>
  </si>
  <si>
    <t>Gab. Jornalismo - Ivan Satuf, Diógenes de Luna e professor substituto</t>
  </si>
  <si>
    <t>(PROJETA) Discutir</t>
  </si>
  <si>
    <t>Joseison</t>
  </si>
  <si>
    <t>Paulo</t>
  </si>
  <si>
    <t>Discutir</t>
  </si>
  <si>
    <t>Amanda/Gorethe/Lucimara</t>
  </si>
  <si>
    <t>D03</t>
  </si>
  <si>
    <t>D01</t>
  </si>
  <si>
    <t>Vazia</t>
  </si>
  <si>
    <t>CEAD</t>
  </si>
  <si>
    <t>Gabinete Design - Isaac Brito Roque; Manoel Deisson Xenofonte Araújo</t>
  </si>
  <si>
    <t>Direção do IISCA</t>
  </si>
  <si>
    <t>Diretoria IISCA</t>
  </si>
  <si>
    <t>Gab. Design - Ana Neuza; Juliana Loss</t>
  </si>
  <si>
    <t>Gab. Design - Cristina Rejane Feitosa Silva; Márcia Qualio Batista dos Santos; Natanael Ferreira Santos</t>
  </si>
  <si>
    <t>Gab. Design - Deborah Macedo</t>
  </si>
  <si>
    <t>Gab. Design - Clarissa de Andrade; Ivy Francielle</t>
  </si>
  <si>
    <t>Gabinete de Audiovisual</t>
  </si>
  <si>
    <t>Lab. Edição de Audiovisual</t>
  </si>
  <si>
    <t>E26</t>
  </si>
  <si>
    <t>E28</t>
  </si>
  <si>
    <t>Ver a possibilidade de liberar essa sala, para que vire sala de multiuso e libere espaço para DTI</t>
  </si>
  <si>
    <t>Ver a possibilidade de liberar essa sala, levando o cerimonial para alguma sala de bloco administrativo</t>
  </si>
  <si>
    <t>Samuel</t>
  </si>
  <si>
    <t>Reologia</t>
  </si>
  <si>
    <t>Simulação de Envelhecimento</t>
  </si>
  <si>
    <t>Francisco</t>
  </si>
  <si>
    <t>Lilian</t>
  </si>
  <si>
    <t>Igor</t>
  </si>
  <si>
    <t>Aerson</t>
  </si>
  <si>
    <t>Camara Umida</t>
  </si>
  <si>
    <t>Edenia</t>
  </si>
  <si>
    <t>Laboratório de Prática Instrumental Metal Grave</t>
  </si>
  <si>
    <t>Laboratório de Prática Instrumental Teclado e Piano</t>
  </si>
  <si>
    <t>Laboratório de Prática Instrumental Trompete</t>
  </si>
  <si>
    <t>Prática Instrumental Violino e Viola</t>
  </si>
  <si>
    <t>Lab. de Práticas Musicais Coletivas</t>
  </si>
  <si>
    <t>Lab. de Práticas Jornalísticas</t>
  </si>
  <si>
    <t>Sala de Estudos de Música</t>
  </si>
  <si>
    <t>Lab. de Prototipagem</t>
  </si>
  <si>
    <t>Laboratório de Desenho de Observação</t>
  </si>
  <si>
    <t>Laboratório de Computação Gráfica</t>
  </si>
  <si>
    <t>Laboratório de Expressão Gráfica de Design</t>
  </si>
  <si>
    <t>Lab. de Ensino de Música</t>
  </si>
  <si>
    <t>Lab. de Ciências Musicais</t>
  </si>
  <si>
    <t>DTI (CITI)</t>
  </si>
  <si>
    <t>DTI (NG/CGSI)</t>
  </si>
  <si>
    <t>DTI (CSI)</t>
  </si>
  <si>
    <t>PROPLAN (CPGE/CIMAI/CGPP/CGS)</t>
  </si>
  <si>
    <t>PRAE (CRU/CAIE)</t>
  </si>
  <si>
    <t>PRAE (Serviço Social)</t>
  </si>
  <si>
    <t>PROGRAD (CEG)</t>
  </si>
  <si>
    <t>PROGRAD (CFOR/Divisão de Diplomas)</t>
  </si>
  <si>
    <t>PROGRAD (CCA)</t>
  </si>
  <si>
    <t>DTI (Atendimento)</t>
  </si>
  <si>
    <t>CCT/Curso Ciências da Computação (Laboratório de Redes e Comunicação-LRC)</t>
  </si>
  <si>
    <t>CCT/Curso Ciências da Computação (Laboratório de Ensino de Computação -LEC1)</t>
  </si>
  <si>
    <t>CCT/Curso Ciências da Computação (Gabinete Prof Roberto Pinheiro)</t>
  </si>
  <si>
    <t>CCT/Curso Ciências da Computação (Laboratório de Ensino de Computação -LEC2)</t>
  </si>
  <si>
    <t>CCT/Curso Ciências da Computação (Laboratório de Computação de Alto Desempenho - LCAD)</t>
  </si>
  <si>
    <t>CCT/Curso Ciências da Computação (Gabinete Prof Rafael Perazzo)</t>
  </si>
  <si>
    <t>CCT/Curso Ciências da Computação (Laboratório de Ensino de Computação -LEC3)</t>
  </si>
  <si>
    <t>PROGEP (Núcleo de Perícias e Segurança do Trabalho)</t>
  </si>
  <si>
    <t>PROEX (NG/CPEX/CIFA)</t>
  </si>
  <si>
    <t>PROEX (NADDE/NGD/CGA)</t>
  </si>
  <si>
    <t>PROCULT (NUCOM/NUPROC/CARTES/CEMOV)</t>
  </si>
  <si>
    <t>PROCULT (NG/CPDC)</t>
  </si>
  <si>
    <t>PROCULT (Núcleo de Línguas -NUCLI)</t>
  </si>
  <si>
    <t>PRPI (NG/Secretaria)</t>
  </si>
  <si>
    <t>PRPI (CP/CPG)</t>
  </si>
  <si>
    <t>PROGEP (Sala de capacitação)</t>
  </si>
  <si>
    <t>PROGEP (Núcleo de Gestão)</t>
  </si>
  <si>
    <t>PROGEP (CAD)</t>
  </si>
  <si>
    <t>PROGEP (Gabinete Pró-reitor) + CLP/CPAC</t>
  </si>
  <si>
    <t>PROGEP (CQVT)</t>
  </si>
  <si>
    <t>PROGEP (CDP)</t>
  </si>
  <si>
    <t>PROGEP (CAP)</t>
  </si>
  <si>
    <t>PROGEP (Sala de reunião/CPPD/CIS)</t>
  </si>
  <si>
    <t>Andre</t>
  </si>
  <si>
    <t>Hilane</t>
  </si>
  <si>
    <t>Ledjane (gabinete 4)</t>
  </si>
  <si>
    <t>Daniel</t>
  </si>
  <si>
    <t>Preparação de Amostras</t>
  </si>
  <si>
    <t>Plastâmetro (analise Termica)</t>
  </si>
  <si>
    <t>Espectrometria</t>
  </si>
  <si>
    <t>Sala de apoio das Coordenações</t>
  </si>
  <si>
    <t>Laboratórios Integrados de Ensino, Pesquisa, Extensão e Cultura (MAPA)</t>
  </si>
  <si>
    <t>Laboratórios Integrados (LAGENTI)</t>
  </si>
  <si>
    <t>Laboratórios Integrados (BIS e BEM)</t>
  </si>
  <si>
    <t>Laboratórios Integrados (NEPOCS)</t>
  </si>
  <si>
    <t>Laboratórios Integrados (LEME e GEPTCO)</t>
  </si>
  <si>
    <t>Laboratórios Integrados (NAGES e MONITORIAS)</t>
  </si>
  <si>
    <t>Laboratórios Integrados (NECAP, NECAFIN, NAF, CARIRI CONSCIENTE e EDUCAÇÃO FINANCEIRA)</t>
  </si>
  <si>
    <t>Laboratórios Integrados (NPC, LED e GRUPO DE PESQUISA)</t>
  </si>
  <si>
    <t>Laboratórios Integrados (NERMS e INGETI)</t>
  </si>
  <si>
    <t>Laboratórios Integrados (LACIM)</t>
  </si>
  <si>
    <t>Laboratórios Integrados (LAURBS, GAAP e PAIDÉIA)</t>
  </si>
  <si>
    <t>Laboratórios Integrados (LACITE e LEVIS)</t>
  </si>
  <si>
    <t>Laboratórios Integrados (LIEGS)</t>
  </si>
  <si>
    <t>Laboratórios Integrados (ITEPS)</t>
  </si>
  <si>
    <t>Laboratórios Integrados (NEC)</t>
  </si>
  <si>
    <t>Laboratórios Integrados (NUGEP)</t>
  </si>
  <si>
    <t>Cícero Marcelo Bezerra dos Santos
Eduardo Vivian da Cunha
Victória Régia Arrais de Paiva</t>
  </si>
  <si>
    <t>David Vernon Vieira
Irma Gracielle Carvalho de Oliveira Souza
Alexandre Pereira de Souza</t>
  </si>
  <si>
    <t>Débora Adriano Sampaio 
Jonathas Luiz Carvalho Silva
Denysson Axel Ribeiro Mota</t>
  </si>
  <si>
    <t>Carla Façanha de Brito
Lucas Almeida Serafim
Elieny do Nascimento Silva</t>
  </si>
  <si>
    <t>Ariluci Goes Elliott
Fabiana Aparecida Lazzarin
Maria Cleide Rodrigues Bernardino</t>
  </si>
  <si>
    <t>Diego Coelho do Nascimento
Francisco Raniere Moreira da Silva
Wendell de Freitas Barbosa</t>
  </si>
  <si>
    <t>Jucieldo Ferreira Alexandre
Polliana de Luna Nunes Barreto
Priscilla Régis Cunha de Queiroz</t>
  </si>
  <si>
    <t>Jaqueline Dourado do Nascimento
Waléria Maria Menezes de Morais Alencar
Milanya Ribeiro da Silva</t>
  </si>
  <si>
    <t>Antônio Alberto Teixeira
Geovani de Oliveira Tavares</t>
  </si>
  <si>
    <t>Deise Santos do Nascimento 
Francisca Pereira dos Santos
Vitória Gomes Almeida</t>
  </si>
  <si>
    <t>Hugo Azevedo Rangel de Morais
Polyandra Zampiere Pessoa da Silva
Mário César Sousa de Oliveira</t>
  </si>
  <si>
    <t>Marcone Venâncio da Silva
Paulo Henrique Leal
Ricardo Aladim Monteiro</t>
  </si>
  <si>
    <t>Leandro Saraiva Dantas de Oliveira
Milton Jarbas Rodrigues Chagas</t>
  </si>
  <si>
    <t>Beatriz Gondim Matos
Halana Adelino Brandão
Jesuina Maria Pereira Ferreira</t>
  </si>
  <si>
    <t>Jeová Torres Silva Junior
Rebeca da Rocha Grangeiro</t>
  </si>
  <si>
    <t>Ingrid Mazza Matos Ramos
João Adolfo Ribeiro Bandeira
Sérgio Henrique de Oliveira Lima</t>
  </si>
  <si>
    <t>Diego de Sousa Guerra
Francisco Dreno Viana da Silva
Roberto Rodrigues Ramos</t>
  </si>
  <si>
    <t>Francisco Germano Carvalho Lúcio
Ives Romero Tavares do Nascimento</t>
  </si>
  <si>
    <t>Elias Pereira Lopes Junior
Mateus Ferreira
Rodolfo Jakov Saraiva Lôbo</t>
  </si>
  <si>
    <t>Liana de Andrade Esmeraldo Pereira
Waleska James Sousa Félix</t>
  </si>
  <si>
    <t>Alexandre Araújo Cavalcante Soare
Marcus Vinicius de Oliveira Brasil
Domenico Ceglia</t>
  </si>
  <si>
    <t>Karolaine</t>
  </si>
  <si>
    <t>Ana Candida</t>
  </si>
  <si>
    <t>Francisca</t>
  </si>
  <si>
    <t>Marley</t>
  </si>
  <si>
    <t>Gedeao</t>
  </si>
  <si>
    <t>Edvania</t>
  </si>
  <si>
    <t>Dorinha</t>
  </si>
  <si>
    <t>Laedna</t>
  </si>
  <si>
    <t>Isabel</t>
  </si>
  <si>
    <t>Diana</t>
  </si>
  <si>
    <t>João</t>
  </si>
  <si>
    <t>Ana Patricia</t>
  </si>
  <si>
    <t>LEGEC (Proj Extensão)</t>
  </si>
  <si>
    <t>R01</t>
  </si>
  <si>
    <t>PREMIUM (Emp Júnior)</t>
  </si>
  <si>
    <t>R02</t>
  </si>
  <si>
    <t>PRAXIS PUBLICA JR.</t>
  </si>
  <si>
    <t>R03</t>
  </si>
  <si>
    <t>AGIR (Ocupado pelo CA do curso Biblioteconomia)</t>
  </si>
  <si>
    <t>R04</t>
  </si>
  <si>
    <t>ENACTUS</t>
  </si>
  <si>
    <t>R05</t>
  </si>
  <si>
    <t>Pe Escola: "núcleo de extensão, informação e educação em permacultura"</t>
  </si>
  <si>
    <t>R06</t>
  </si>
  <si>
    <t>GRUPO DE PESQUISA SABERES</t>
  </si>
  <si>
    <t>R07</t>
  </si>
  <si>
    <t>Edifique Ações + Proj. Horta Orgânica + demais projetos</t>
  </si>
  <si>
    <t>R08</t>
  </si>
  <si>
    <t>Liga de Geotecnia + liga de bim + Demais Ligas</t>
  </si>
  <si>
    <t>R09</t>
  </si>
  <si>
    <t>PROJETA</t>
  </si>
  <si>
    <t>R10</t>
  </si>
  <si>
    <t>SOLUCIONARE</t>
  </si>
  <si>
    <t>R11</t>
  </si>
  <si>
    <t>EM FORMAÇÃO</t>
  </si>
  <si>
    <t>R12</t>
  </si>
  <si>
    <t>CALANGO</t>
  </si>
  <si>
    <t>R13</t>
  </si>
  <si>
    <t>Escritório Habitar</t>
  </si>
  <si>
    <t>R14</t>
  </si>
  <si>
    <t>PAIDEIA</t>
  </si>
  <si>
    <t>R15</t>
  </si>
  <si>
    <t>R16</t>
  </si>
  <si>
    <t>PROMUS</t>
  </si>
  <si>
    <t>R17</t>
  </si>
  <si>
    <t>Residência Pedagógica</t>
  </si>
  <si>
    <t>R101</t>
  </si>
  <si>
    <t>MONITORIAS CCT</t>
  </si>
  <si>
    <t>R102</t>
  </si>
  <si>
    <t>MONITORIAS CCSA</t>
  </si>
  <si>
    <t>R103</t>
  </si>
  <si>
    <t>MONITORIAS IISCA</t>
  </si>
  <si>
    <t>R104</t>
  </si>
  <si>
    <t>Programa acadêmico (PACCE/PROGRAD)</t>
  </si>
  <si>
    <t>R105</t>
  </si>
  <si>
    <t>Lab. de Imagens + Demais extensões</t>
  </si>
  <si>
    <t>R106</t>
  </si>
  <si>
    <t>Comunicação do Bem + Demais extensões</t>
  </si>
  <si>
    <t xml:space="preserve">RESERVADO PET </t>
  </si>
  <si>
    <t>R107</t>
  </si>
  <si>
    <t>Projeto Gi-Teca (startup)</t>
  </si>
  <si>
    <t>R108</t>
  </si>
  <si>
    <t>PETADM</t>
  </si>
  <si>
    <t>R109</t>
  </si>
  <si>
    <t xml:space="preserve">PETBIBLIO. </t>
  </si>
  <si>
    <t>R110</t>
  </si>
  <si>
    <t>Centro Acad. - CA Eng Civil</t>
  </si>
  <si>
    <t>R111</t>
  </si>
  <si>
    <t>Centro Acad. - CA Eng Materiais</t>
  </si>
  <si>
    <t>R112</t>
  </si>
  <si>
    <t>Centro Acad. - CA Mat. Computacional</t>
  </si>
  <si>
    <t>R113</t>
  </si>
  <si>
    <t>Centro Acad. - CA Ciência da Computação</t>
  </si>
  <si>
    <t>R114</t>
  </si>
  <si>
    <t>Centro Acad. - CA Administração</t>
  </si>
  <si>
    <t>R115</t>
  </si>
  <si>
    <t>Centro Acad. - CA Adm Pública</t>
  </si>
  <si>
    <t>R116</t>
  </si>
  <si>
    <t>Centro Acad. - CA Biblioteconomia</t>
  </si>
  <si>
    <t>R117</t>
  </si>
  <si>
    <t>Centro Acad. - CA Ciências Contábeis</t>
  </si>
  <si>
    <t>R118</t>
  </si>
  <si>
    <t>Centro Acad. - CA Design</t>
  </si>
  <si>
    <t>R119</t>
  </si>
  <si>
    <t>Centro Acad. - CA Filosofia</t>
  </si>
  <si>
    <t>R120</t>
  </si>
  <si>
    <t>Centro Acad. - CA Jornalismo</t>
  </si>
  <si>
    <t>R121</t>
  </si>
  <si>
    <t>Centro Acad. - CA Letras/Libras</t>
  </si>
  <si>
    <t>R122</t>
  </si>
  <si>
    <t>Centro Acad. - CA Música</t>
  </si>
  <si>
    <t>R123</t>
  </si>
  <si>
    <t>RESERVADO Centro Acad. - CA</t>
  </si>
  <si>
    <t>R124</t>
  </si>
  <si>
    <t>DCE</t>
  </si>
  <si>
    <t>R125</t>
  </si>
  <si>
    <t>R126</t>
  </si>
  <si>
    <t>R127</t>
  </si>
  <si>
    <t xml:space="preserve">Ensaio </t>
  </si>
  <si>
    <t>Curativos e Sutura</t>
  </si>
  <si>
    <t>Lavagem e Esterilização</t>
  </si>
  <si>
    <t>Ambulatório</t>
  </si>
  <si>
    <t>E18</t>
  </si>
  <si>
    <t>Ambulatório - Oftalmologia</t>
  </si>
  <si>
    <t>Ambulatório - Otorrino</t>
  </si>
  <si>
    <t>E31</t>
  </si>
  <si>
    <t>E32</t>
  </si>
  <si>
    <t>E33</t>
  </si>
  <si>
    <t>E34</t>
  </si>
  <si>
    <t>Ambulatório - Ginecologia</t>
  </si>
  <si>
    <t>E35</t>
  </si>
  <si>
    <t>WC- Ginecologia</t>
  </si>
  <si>
    <t>WC- privativo Fem</t>
  </si>
  <si>
    <t>WC- privativo Masc</t>
  </si>
  <si>
    <t>WC- Coletivo Masc</t>
  </si>
  <si>
    <t>WC- Coletivo Fem</t>
  </si>
  <si>
    <t>WC- Família</t>
  </si>
  <si>
    <t>WC- Acessível Fem</t>
  </si>
  <si>
    <t>WC- Acessível Masc</t>
  </si>
  <si>
    <t>E101</t>
  </si>
  <si>
    <t>Sala de professores 1</t>
  </si>
  <si>
    <t>E102</t>
  </si>
  <si>
    <t>Sala de professores 2</t>
  </si>
  <si>
    <t>E103</t>
  </si>
  <si>
    <t>Sala de professores 3</t>
  </si>
  <si>
    <t>E104</t>
  </si>
  <si>
    <t>Sala de professores 4</t>
  </si>
  <si>
    <t>E105</t>
  </si>
  <si>
    <t>Sala de professores 5</t>
  </si>
  <si>
    <t>E106</t>
  </si>
  <si>
    <t>Sala de professores 6</t>
  </si>
  <si>
    <t>E107</t>
  </si>
  <si>
    <t>Sala de professores 7</t>
  </si>
  <si>
    <t>E108</t>
  </si>
  <si>
    <t>E109</t>
  </si>
  <si>
    <t>E110</t>
  </si>
  <si>
    <t>E111</t>
  </si>
  <si>
    <t>E112</t>
  </si>
  <si>
    <t>E113</t>
  </si>
  <si>
    <t>E114</t>
  </si>
  <si>
    <t>E115</t>
  </si>
  <si>
    <t>E116</t>
  </si>
  <si>
    <t>1º ANDAR</t>
  </si>
  <si>
    <t>Cimentado</t>
  </si>
  <si>
    <t>Paola/ Dorgival/Diego Franklin/ Francisca Damiana</t>
  </si>
  <si>
    <t>CCT</t>
  </si>
  <si>
    <t>IISCA</t>
  </si>
  <si>
    <t>PRAE</t>
  </si>
  <si>
    <t>Unidade Acadêmica/Administrativa</t>
  </si>
  <si>
    <t>Reagentes</t>
  </si>
  <si>
    <t>B05A</t>
  </si>
  <si>
    <t>B05C</t>
  </si>
  <si>
    <t>Allana</t>
  </si>
  <si>
    <t>GRUPO DE FISICA TEORICA E COMPUTACIONAL GFTC Thiago/Felipe</t>
  </si>
  <si>
    <t>B02A</t>
  </si>
  <si>
    <t>Herminio</t>
  </si>
  <si>
    <t>B02C</t>
  </si>
  <si>
    <t>Equipe de Manutenção/A partir de 2024 será Laboratório da Central Analítica</t>
  </si>
  <si>
    <t>Lab. De Saneamento 1</t>
  </si>
  <si>
    <t>Lab. De Saneamento 2</t>
  </si>
  <si>
    <t>Parâmetros Físicos - fluxo laminar</t>
  </si>
  <si>
    <t>Jardinagem/ Será parte do Lab de Recursos Hídricos</t>
  </si>
  <si>
    <t>Sala embaixo da rampa</t>
  </si>
  <si>
    <t>E23/E24</t>
  </si>
  <si>
    <t>Laboratório de Percurssão</t>
  </si>
  <si>
    <t>Erwin/Flavio/André</t>
  </si>
  <si>
    <t>CCSA</t>
  </si>
  <si>
    <t>PRPI</t>
  </si>
  <si>
    <t>Segurança</t>
  </si>
  <si>
    <t>PROAD</t>
  </si>
  <si>
    <t>Salas de reunião/ salas de grupos de pesquisa/CA/EJ</t>
  </si>
  <si>
    <t>Por unidade acadêmica</t>
  </si>
  <si>
    <t>CCAB</t>
  </si>
  <si>
    <t>FAMED</t>
  </si>
  <si>
    <t>IFE</t>
  </si>
  <si>
    <t>Unidade Acadêmica</t>
  </si>
  <si>
    <t>Área útil (m2)</t>
  </si>
  <si>
    <t>Somadas apenas as áreas úteis utilizadas por atividades acadêmicas e administrativas</t>
  </si>
  <si>
    <t>Áreas de Circulação</t>
  </si>
  <si>
    <t>Juazeiro do Norte</t>
  </si>
  <si>
    <t>Crato</t>
  </si>
  <si>
    <t>Barbalha</t>
  </si>
  <si>
    <t>Brejo Santo</t>
  </si>
  <si>
    <t>(calçada)</t>
  </si>
  <si>
    <t>As áreas de salas de aula não estão computadas no Campus Juazeiro do Norte, pois são compartilhadas entre as unidades. Nos outros Campi estão inclusas.</t>
  </si>
  <si>
    <t>Excluídas as áreas de circulação, biblioteca, RU, banheiros e serviços (copa, dml e sala técnica de elétrica)</t>
  </si>
  <si>
    <t>Piso cimentado</t>
  </si>
  <si>
    <t>Espuma Sonex</t>
  </si>
  <si>
    <t>Intertravado de 16 faces e concregrama</t>
  </si>
  <si>
    <t>Quant pessoas</t>
  </si>
  <si>
    <t>PASSARELA - 1ª À 7ª ETAPA</t>
  </si>
  <si>
    <t>ATUALIZAÇÃO: 07/2024</t>
  </si>
  <si>
    <t>Circulação/Hall/ Passarela/ Quadra/ Arquibancada/Rampas e Escadas</t>
  </si>
  <si>
    <t>RESIDÊNCIA UNIVERSITÁRIA</t>
  </si>
  <si>
    <t>QUADRAS ESPORTIVAS</t>
  </si>
  <si>
    <t>Verificação do total</t>
  </si>
  <si>
    <t>PROPLAN (CPGR/CO)</t>
  </si>
  <si>
    <t>SEODS</t>
  </si>
  <si>
    <t>DINFRA (CM/CGIL)</t>
  </si>
  <si>
    <t>DINFRA (Diretor/NG/CPA/COSE)</t>
  </si>
  <si>
    <t>Fórmula =MOD(LIN();2)=0</t>
  </si>
  <si>
    <t>PROAD (CCON/CTER)</t>
  </si>
  <si>
    <t>PROAD (Financas/ Executiva)</t>
  </si>
  <si>
    <t>PROAD (NG/Compras/Licitação)</t>
  </si>
  <si>
    <t>Reitoria (NG/NDP)</t>
  </si>
  <si>
    <t>Reitoria (Gabinete/assessoria)</t>
  </si>
  <si>
    <t>Reitoria (reitor/vice)</t>
  </si>
  <si>
    <t>Laboratórios (sujos/insalubres)</t>
  </si>
  <si>
    <t>Unid Acad</t>
  </si>
  <si>
    <t>='UFCA - BA'!F118:F134</t>
  </si>
  <si>
    <t>='UFCA - BA'!F4:F117</t>
  </si>
  <si>
    <t>='UFCA - BA'!F135:F142</t>
  </si>
  <si>
    <t>Solário: 8,07 área verde</t>
  </si>
  <si>
    <t>Bloco C (lab 1)</t>
  </si>
  <si>
    <t>BLOCO A (administrativo)</t>
  </si>
  <si>
    <t>BLOCO B (antigo gabinetes)</t>
  </si>
  <si>
    <t>BLOCO C (lab 1)</t>
  </si>
  <si>
    <t>BLOCO D (refeitório)</t>
  </si>
  <si>
    <t>BLOCO E (lab 2)</t>
  </si>
  <si>
    <t>BLOCO F (oficina)</t>
  </si>
  <si>
    <t>BLOCO G (multifuncional)</t>
  </si>
  <si>
    <t>Bloco D (refeitório)</t>
  </si>
  <si>
    <t>Bloco E (lab 2)</t>
  </si>
  <si>
    <t>Bloco F (oficina)</t>
  </si>
  <si>
    <t>Bloco G (multifuncional)</t>
  </si>
  <si>
    <t>Bloco A (administrativo)</t>
  </si>
  <si>
    <t>Bloco B (antigo gabinetes)</t>
  </si>
  <si>
    <t>EXTERNO CLÍNICA</t>
  </si>
  <si>
    <t>Estacionamento Prédio Antigo</t>
  </si>
  <si>
    <t>Estacionamento Clínica Escola</t>
  </si>
  <si>
    <t>EXTERNO Prédio Ant</t>
  </si>
  <si>
    <t>Passeio prédio antigo</t>
  </si>
  <si>
    <t>Passeio Clínica Escola</t>
  </si>
  <si>
    <t>Áreas verdes Prédio Antigo</t>
  </si>
  <si>
    <t>Áreas verdes Clínica Escola</t>
  </si>
  <si>
    <t>Rampa Clínica Escola</t>
  </si>
  <si>
    <t>Rampa Prédio Antigo</t>
  </si>
  <si>
    <t>Paralelepípedo</t>
  </si>
  <si>
    <t>='UFCA - CR'!J6:J18</t>
  </si>
  <si>
    <t>='UFCA - CR'!J19:J28</t>
  </si>
  <si>
    <t>='UFCA - CR'!K29:K51</t>
  </si>
  <si>
    <t>='UFCA - CR'!J52:J58</t>
  </si>
  <si>
    <t>='UFCA - CR'!J59:J71</t>
  </si>
  <si>
    <t>='UFCA - CR'!J72:J79</t>
  </si>
  <si>
    <t>='UFCA - CR'!J80:J183</t>
  </si>
  <si>
    <t>='UFCA - CR'!J184:J192</t>
  </si>
  <si>
    <t>='UFCA - CR'!J4:J5</t>
  </si>
  <si>
    <t>='UFCA - CR'!J193:J194</t>
  </si>
  <si>
    <t>Barrilete: 10,78</t>
  </si>
  <si>
    <r>
      <rPr>
        <b/>
        <sz val="11"/>
        <color theme="1"/>
        <rFont val="Calibri"/>
        <family val="2"/>
        <scheme val="minor"/>
      </rPr>
      <t>ATUALIZAÇÃO 07/2024</t>
    </r>
    <r>
      <rPr>
        <sz val="11"/>
        <color theme="1"/>
        <rFont val="Calibri"/>
        <family val="2"/>
        <scheme val="minor"/>
      </rPr>
      <t xml:space="preserve">
&gt; Nomenclatura de alguns ambientes foram modificados para se assemelhar à classificação do SPIUNET. Como a computação separada de rampas e escadas.
&gt; Subestação de energia de Barbalha está inserida na área construída, mas foi removida da área de limpeza, pois há contrato específico.
&gt; Inserida área da guarita em Juazeiro do Norte.
&gt; Em Brejo Santo a Guarita foi separada como edificação e separada a área de guarita e wc.</t>
    </r>
  </si>
  <si>
    <t>='UFCA - BA'!F157:F229</t>
  </si>
  <si>
    <t>='UFCA - ICÓ (SPU)'!J4:J24</t>
  </si>
  <si>
    <t>VIA (LEITO CARROÇÁVEL)</t>
  </si>
  <si>
    <t>CICLOVIA</t>
  </si>
  <si>
    <t>PASSEIO (CALÇADA)</t>
  </si>
  <si>
    <t>GRAMADO (NOVO)</t>
  </si>
  <si>
    <t>ESTACIONAMENTO</t>
  </si>
  <si>
    <t>PARACICLO</t>
  </si>
  <si>
    <t>ÁREA DE CONVIVÊNCIA</t>
  </si>
  <si>
    <t>HOSPITAL VETERINÁRIO UNIVERSITÁRIO</t>
  </si>
  <si>
    <t>Arquivo</t>
  </si>
  <si>
    <t>Wc Acessível Feminino</t>
  </si>
  <si>
    <t>Wc Acessível Masculino</t>
  </si>
  <si>
    <t>HOSPITAL VETERINÁRIO</t>
  </si>
  <si>
    <t>Circulação 4</t>
  </si>
  <si>
    <t>Sala de atendimento de pequenos animais 1</t>
  </si>
  <si>
    <t>Sala de atendimento de pequenos animais 2</t>
  </si>
  <si>
    <t>Circulação 7</t>
  </si>
  <si>
    <t>Circulação 8</t>
  </si>
  <si>
    <t>Circulação 5</t>
  </si>
  <si>
    <t>Circulação 6</t>
  </si>
  <si>
    <t>Circulação 9</t>
  </si>
  <si>
    <t>Circulação 11</t>
  </si>
  <si>
    <t>Circulação 12</t>
  </si>
  <si>
    <t>Lanchonete</t>
  </si>
  <si>
    <t>WC comum</t>
  </si>
  <si>
    <t>LANCHONETE</t>
  </si>
  <si>
    <t>Médico/ Hospitalar</t>
  </si>
  <si>
    <t>JULHO/2024</t>
  </si>
  <si>
    <t>Anatomia e Fisilogia dos animais domésticos / OSSÁRIO</t>
  </si>
  <si>
    <t>Laboratório de Biologia Estrutural e Molecular - LaBEM</t>
  </si>
  <si>
    <t>Laboratório de Bioquímica e Fisiologia das Plantas</t>
  </si>
  <si>
    <r>
      <rPr>
        <b/>
        <sz val="11"/>
        <color theme="1"/>
        <rFont val="Calibri"/>
        <family val="2"/>
        <scheme val="minor"/>
      </rPr>
      <t>ATUALIZAÇÃO 06/08/2024</t>
    </r>
    <r>
      <rPr>
        <sz val="11"/>
        <color theme="1"/>
        <rFont val="Calibri"/>
        <family val="2"/>
        <scheme val="minor"/>
      </rPr>
      <t xml:space="preserve">
&gt; Sala E06 do Crato: Mudança de nome de Sala quente para Laboratório Ossário. Área subiu de 16,88 m² para 37,80 m².
&gt; Sala E05 do Crato: Mudança de nome de Herbário para Laboratório de Biologia Estrutural e Molecular - LaBEM.
&gt; Sala E02 do Crato: mudança do nome. De Laboratório de Fisiologia para Laboratório de Bioquímica e Fisiologia das Plantas.</t>
    </r>
  </si>
  <si>
    <t>Laje pintada</t>
  </si>
  <si>
    <t>Área não habitada</t>
  </si>
  <si>
    <t>Área do terreno (m2)</t>
  </si>
  <si>
    <t>Área construída (m2)</t>
  </si>
  <si>
    <t>Área externa (m2)</t>
  </si>
  <si>
    <t>Área não habitada (m2)</t>
  </si>
  <si>
    <t>Superintendência do Patrimônio da União no Ceará</t>
  </si>
  <si>
    <t>Cedido até 31/08/2041</t>
  </si>
  <si>
    <t>Av. Josefá Nogueira Monteiro, nº 1668, Centro.
Icó - CE, CEP 63430-000</t>
  </si>
  <si>
    <t>ÁREA TOTAL OCUPADA (m2)</t>
  </si>
  <si>
    <t>ÁREA TOTAL PRÓPRIA DA UFCA (m2)</t>
  </si>
  <si>
    <t>atualizado em 10/02/2025</t>
  </si>
  <si>
    <t>ÁREA (M2)</t>
  </si>
  <si>
    <t>Doado pela Prefeitura de Icó</t>
  </si>
  <si>
    <t>Restaurante, biblioteca e salas de aula</t>
  </si>
  <si>
    <t>Margem da CE-282, Olho d'água, Icó</t>
  </si>
  <si>
    <t>Baias para separação de resíduos</t>
  </si>
  <si>
    <t>Edificação térrea para lixeira e separação de resíduos sólidos.</t>
  </si>
  <si>
    <t>Plantas Ornamentais</t>
  </si>
  <si>
    <t>Edificação térrea para estufa e tratamento de Plantas Ornamentais. Parte da coberta de fibrocimento e parte da coberta com lona e sombrite.</t>
  </si>
  <si>
    <t>4 Casas de Vegetação</t>
  </si>
  <si>
    <t>4 Edificações térreas para para experimentos agrícolas. Coberta de sombrite e lona transparente.</t>
  </si>
  <si>
    <t>1 Composteira</t>
  </si>
  <si>
    <t>Edificação térrea para compostagem e produção de mudas de plantas medicinais e hortaliças. Coberta de sombrite e de telha de fibra de vidro translúcida.</t>
  </si>
  <si>
    <t>Edificação térrea para armazenagem de materiais de uso da composteira.</t>
  </si>
  <si>
    <t>Clínica Escola com 23 ambulatórios, 6 salas de tutoria acadêmica, sala de repouso, de coleta e de esterilização, 4 salas de aula com capacidade para 50 alunos cada uma e 4 salas de aula com capacidade para 25 alunos cada uma. Sete gabinetes para professores, sala de reunião, banheiros acessíveis, rampa e escada de acesso.</t>
  </si>
  <si>
    <t>Edificação única e térrea que abriga a unidade acadêmica Instituto de Formação de Educadores (IFE). Possui 12 salas de aula com capacidade aproximada de 35 alunos cada, laboratórios acadêmicos, biblioteca, gabinetes de professores, áreas administrativas e horto acadêmico.
Cessão até 31 de dezembro de 2036.</t>
  </si>
  <si>
    <t>UNIÃO</t>
  </si>
  <si>
    <t>Edificação única e térrea que abriga a unidade acadêmica Instituto de Estudos do Semiárido (IESA). Possui 5 salas com capacidade para servir ao apoio administrativo e 3 salas para o apoio ao aluno de EAD.</t>
  </si>
  <si>
    <t>ÁREA CONSTRUÍDA TOTAL OCUPADA</t>
  </si>
  <si>
    <t>ÁREA CONSTRUÍDA TOTAL PRÓPRIA DA UFCA</t>
  </si>
  <si>
    <t>Resumo</t>
  </si>
  <si>
    <t>Área Construída (m2)</t>
  </si>
  <si>
    <t>Icó</t>
  </si>
  <si>
    <t>As planilhas resumo foram separadas em 2 situações:
&gt; situação até julho de 2024;
&gt; previsão de acréscimo após 2027.</t>
  </si>
  <si>
    <r>
      <rPr>
        <b/>
        <sz val="11"/>
        <color theme="1"/>
        <rFont val="Calibri"/>
        <family val="2"/>
        <scheme val="minor"/>
      </rPr>
      <t>Esclarecimento sobre a contabilização de áreas externas e áreas verdes:</t>
    </r>
    <r>
      <rPr>
        <sz val="11"/>
        <color theme="1"/>
        <rFont val="Calibri"/>
        <family val="2"/>
        <scheme val="minor"/>
      </rPr>
      <t xml:space="preserve">
&gt; A área verde corresponde às áreas de jardim. Quando a edificação </t>
    </r>
    <r>
      <rPr>
        <u/>
        <sz val="11"/>
        <color theme="1"/>
        <rFont val="Calibri"/>
        <family val="2"/>
        <scheme val="minor"/>
      </rPr>
      <t>não possui área urbanizada no seu entorno e faz parte um terreno grande</t>
    </r>
    <r>
      <rPr>
        <sz val="11"/>
        <color theme="1"/>
        <rFont val="Calibri"/>
        <family val="2"/>
        <scheme val="minor"/>
      </rPr>
      <t>, foram contabilizadas as áreas imediatamente ao redor (</t>
    </r>
    <r>
      <rPr>
        <b/>
        <sz val="11"/>
        <color theme="1"/>
        <rFont val="Calibri"/>
        <family val="2"/>
        <scheme val="minor"/>
      </rPr>
      <t>faixa de 5m do entorno</t>
    </r>
    <r>
      <rPr>
        <sz val="11"/>
        <color theme="1"/>
        <rFont val="Calibri"/>
        <family val="2"/>
        <scheme val="minor"/>
      </rPr>
      <t>);
&gt; em 2025 foi acrescentado o dado de "Área não habitada". Essa corresponde à área verde não urbanizada e não edificada nos Campi Juazeiro do Norte e Crato. Serve para fins de limpeza de mato ou dedetização quando necessário.</t>
    </r>
  </si>
  <si>
    <t>Sobre terrenos doados e não ocupados:
&gt; os terrenos doados ou em processo de doação não foram incorporados aos cálculos de área de limpeza ou de dedetização.</t>
  </si>
  <si>
    <t>Foyer</t>
  </si>
  <si>
    <t>Copa de apoio para eventos</t>
  </si>
  <si>
    <t>Cabine de Som</t>
  </si>
  <si>
    <t>Sala Intérprete de Libras</t>
  </si>
  <si>
    <t>Sala Tradutor/ Audiodescrição</t>
  </si>
  <si>
    <t>Wc Coletivo Masculino</t>
  </si>
  <si>
    <t>Wc Coletivo Feminino</t>
  </si>
  <si>
    <t>Salão do Auditório</t>
  </si>
  <si>
    <t>Camarim</t>
  </si>
  <si>
    <t>Wc Acessível Unissex</t>
  </si>
  <si>
    <t>Depósito 1</t>
  </si>
  <si>
    <t>Depósito 2</t>
  </si>
  <si>
    <t>Tinta acrílica/porcelanato</t>
  </si>
  <si>
    <t>PVC</t>
  </si>
  <si>
    <t>Laje/Tinta acrílica</t>
  </si>
  <si>
    <t>Forro Mineral</t>
  </si>
  <si>
    <t>Madeira 7 cm</t>
  </si>
  <si>
    <t>Entrega em 2026</t>
  </si>
  <si>
    <t>HVU</t>
  </si>
  <si>
    <t>Calçadas</t>
  </si>
  <si>
    <t>Jardim</t>
  </si>
  <si>
    <t>Total(m²)</t>
  </si>
  <si>
    <t>COM RISCO (INTERNA) - (m²)</t>
  </si>
  <si>
    <t>COM RISCO (EXTERNA) - (m²)</t>
  </si>
  <si>
    <t>SEM RISCO (EXTERNA) - (m²)</t>
  </si>
  <si>
    <t>SEM RISCO (INTERNA) - (m²)</t>
  </si>
  <si>
    <t>Quant.</t>
  </si>
  <si>
    <t>Área (m²)</t>
  </si>
  <si>
    <t>Altura(m)</t>
  </si>
  <si>
    <t>Largura(m)</t>
  </si>
  <si>
    <t>Total Geral</t>
  </si>
  <si>
    <t>BAND. P1</t>
  </si>
  <si>
    <t>Nº/ VISOR</t>
  </si>
  <si>
    <t>Total - (m²)</t>
  </si>
  <si>
    <t xml:space="preserve">COM RISCO (INTERNA) - (m²) </t>
  </si>
  <si>
    <t xml:space="preserve">SEM RISCO (INTERNA) - (m²) </t>
  </si>
  <si>
    <t>Total (m²)</t>
  </si>
  <si>
    <t>Altura (m²)</t>
  </si>
  <si>
    <t>Largura (m²)</t>
  </si>
  <si>
    <t>Nº/ BANDEIRA</t>
  </si>
  <si>
    <t>1º E 2º ANDAR</t>
  </si>
  <si>
    <t xml:space="preserve">BAND. P5 </t>
  </si>
  <si>
    <t>BAND. P3</t>
  </si>
  <si>
    <t>BAND. P2</t>
  </si>
  <si>
    <t>RESIDÊNCIA UNIVERSITÁRIA / ALOJAMENTO</t>
  </si>
  <si>
    <t>8ª Etapa</t>
  </si>
  <si>
    <t>Quantitativo - Portas ( Campus Juazeiro - 8ª Etapa)</t>
  </si>
  <si>
    <t>VISOR - P5</t>
  </si>
  <si>
    <t>BAND. P4</t>
  </si>
  <si>
    <t>VISOR - P1</t>
  </si>
  <si>
    <t xml:space="preserve">VISOR - P5 </t>
  </si>
  <si>
    <t>BAND. P5</t>
  </si>
  <si>
    <t>4º Andar</t>
  </si>
  <si>
    <t>3º Andar</t>
  </si>
  <si>
    <t>2º Andar</t>
  </si>
  <si>
    <t>1º Andar</t>
  </si>
  <si>
    <t>7ª Etapa</t>
  </si>
  <si>
    <t>Quantitativo - Portas ( Campus Juazeiro - 7ª Etapa)</t>
  </si>
  <si>
    <t xml:space="preserve">Total Geral </t>
  </si>
  <si>
    <t>P5/ VISOR</t>
  </si>
  <si>
    <t xml:space="preserve">P5/ BANDEIRA </t>
  </si>
  <si>
    <t>Altura (m)</t>
  </si>
  <si>
    <t>Largura (m)</t>
  </si>
  <si>
    <t>Bloco L</t>
  </si>
  <si>
    <t xml:space="preserve">4º Andar </t>
  </si>
  <si>
    <t>P7/ VISOR</t>
  </si>
  <si>
    <t xml:space="preserve">3º Andar </t>
  </si>
  <si>
    <t xml:space="preserve">2º Andar </t>
  </si>
  <si>
    <t xml:space="preserve">1º Andar  </t>
  </si>
  <si>
    <t>Bloco K</t>
  </si>
  <si>
    <t>M3</t>
  </si>
  <si>
    <t>M2</t>
  </si>
  <si>
    <t>M1</t>
  </si>
  <si>
    <t>Bloco J</t>
  </si>
  <si>
    <t>6ª Etapa</t>
  </si>
  <si>
    <t>Quantitativo - Portas ( Campus Juazeiro - 6ª Etapa)</t>
  </si>
  <si>
    <t xml:space="preserve">P7/ BANDEIRA </t>
  </si>
  <si>
    <t>BAND. DIV. 02</t>
  </si>
  <si>
    <t>DIVISÓRIA 02</t>
  </si>
  <si>
    <t>BAND. DIV. 01</t>
  </si>
  <si>
    <t>DIVISÓRIA 01</t>
  </si>
  <si>
    <t xml:space="preserve">Bloco I </t>
  </si>
  <si>
    <t>5ª Etapa</t>
  </si>
  <si>
    <t>Quantitativo - Portas ( Campus Juazeiro - 5ª Etapa)</t>
  </si>
  <si>
    <t>P10</t>
  </si>
  <si>
    <t>P9</t>
  </si>
  <si>
    <t>Bloco H</t>
  </si>
  <si>
    <t>P5</t>
  </si>
  <si>
    <t>INFERIOR</t>
  </si>
  <si>
    <t>TERREO</t>
  </si>
  <si>
    <t>4ª Etapa</t>
  </si>
  <si>
    <t>Quantitativo - Portas ( Campus Juazeiro - 4ª Etapa)</t>
  </si>
  <si>
    <t>Pavimento Superior</t>
  </si>
  <si>
    <t>Pavimento Inferior</t>
  </si>
  <si>
    <t xml:space="preserve">Bloco E </t>
  </si>
  <si>
    <t>3ª Etapa</t>
  </si>
  <si>
    <t>Quantitativo - Portas ( Campus Juazeiro - 3ª Etapa)</t>
  </si>
  <si>
    <t>2° Etapa</t>
  </si>
  <si>
    <t>Quantitativo - Portas ( Campus Juazeiro - 1ª Etapa)</t>
  </si>
  <si>
    <t>1° Etapa</t>
  </si>
  <si>
    <t>J6</t>
  </si>
  <si>
    <t>J5</t>
  </si>
  <si>
    <t>8ª ETAPA</t>
  </si>
  <si>
    <t>Quantitativo - Janelas ( Campus Juazeiro - 8ª Etapa)</t>
  </si>
  <si>
    <t>J7</t>
  </si>
  <si>
    <t>Quantitativo - Janelas ( Campus Juazeiro - 7ª Etapa)</t>
  </si>
  <si>
    <t>Quantitativo - Janelas ( Campus Juazeiro - 6ª Etapa)</t>
  </si>
  <si>
    <t>Quantitativo - Janelas ( Campus Juazeiro - 5ª Etapa)</t>
  </si>
  <si>
    <t>Quantitativo - Janelas ( Campus Juazeiro - 4ª Etapa)</t>
  </si>
  <si>
    <t>F6</t>
  </si>
  <si>
    <t>F5</t>
  </si>
  <si>
    <t>Quantitativo - Janelas ( Campus Juazeiro - 3ª Etapa)</t>
  </si>
  <si>
    <t>Quantitativo - Janelas ( Campus Juazeiro - 2ª Etapa)</t>
  </si>
  <si>
    <t>F10</t>
  </si>
  <si>
    <t>F4</t>
  </si>
  <si>
    <t>F3</t>
  </si>
  <si>
    <t>F9</t>
  </si>
  <si>
    <t>Quantitativo - Janelas ( Campus Juazeiro - 1ª Etapa)</t>
  </si>
  <si>
    <t>COM RISCO</t>
  </si>
  <si>
    <t>SEM RISCO</t>
  </si>
  <si>
    <t xml:space="preserve">8ª ETAPA </t>
  </si>
  <si>
    <t>7ª ETAPA</t>
  </si>
  <si>
    <t xml:space="preserve">6ª ETAPA </t>
  </si>
  <si>
    <t>5ª ETAPA</t>
  </si>
  <si>
    <t>4ª ETAPA</t>
  </si>
  <si>
    <t>3ª ETAPA</t>
  </si>
  <si>
    <t xml:space="preserve">2ª ETAPA </t>
  </si>
  <si>
    <t xml:space="preserve">1ª ETAPA </t>
  </si>
  <si>
    <t xml:space="preserve">PORTAS </t>
  </si>
  <si>
    <t>QUANTITATIVO GERAL - ESQUADRIAS (PORTAS)</t>
  </si>
  <si>
    <t xml:space="preserve">JANELAS </t>
  </si>
  <si>
    <t>QUANTITATIVO GERAL - ESQUADRIAS (JANELAS)</t>
  </si>
  <si>
    <t>Observação</t>
  </si>
  <si>
    <t>FACHADA ENVIDRAÇADA - (m²)</t>
  </si>
  <si>
    <t>Porta de vidro (m²)</t>
  </si>
  <si>
    <t>Visor (m²)</t>
  </si>
  <si>
    <t>Bandeira (m²)</t>
  </si>
  <si>
    <t>P03</t>
  </si>
  <si>
    <t>Bandeira + 2 Visores</t>
  </si>
  <si>
    <t>Bandeira + Visor</t>
  </si>
  <si>
    <t>P02</t>
  </si>
  <si>
    <t>P01</t>
  </si>
  <si>
    <t xml:space="preserve">Bandeira </t>
  </si>
  <si>
    <t>Professores</t>
  </si>
  <si>
    <t xml:space="preserve"> </t>
  </si>
  <si>
    <t>Bandeira  + 2 visores</t>
  </si>
  <si>
    <t>Bandeira</t>
  </si>
  <si>
    <t>Oficina</t>
  </si>
  <si>
    <t>P3</t>
  </si>
  <si>
    <t>P2</t>
  </si>
  <si>
    <t>P1</t>
  </si>
  <si>
    <t>Porta em vidro</t>
  </si>
  <si>
    <t>Bandeira + Porta em vidro</t>
  </si>
  <si>
    <t>P8</t>
  </si>
  <si>
    <t>P7</t>
  </si>
  <si>
    <t>P6</t>
  </si>
  <si>
    <t xml:space="preserve">Bloco Multifuncional </t>
  </si>
  <si>
    <t/>
  </si>
  <si>
    <t xml:space="preserve">Administração </t>
  </si>
  <si>
    <t>Quantitativo - Portas ( Campus Crato)</t>
  </si>
  <si>
    <t>FACHADA PRINCIPAL</t>
  </si>
  <si>
    <t>J13</t>
  </si>
  <si>
    <t>J12</t>
  </si>
  <si>
    <t>J11</t>
  </si>
  <si>
    <t>V2</t>
  </si>
  <si>
    <t>V1</t>
  </si>
  <si>
    <t>J9</t>
  </si>
  <si>
    <t>J8</t>
  </si>
  <si>
    <t>J10</t>
  </si>
  <si>
    <t>Quantitativo - Janelas ( Campus Crato)</t>
  </si>
  <si>
    <t>JANELAS</t>
  </si>
  <si>
    <t>PORTAS</t>
  </si>
  <si>
    <t>QUANTITATIVO GERAL - ESQUADRIAS</t>
  </si>
  <si>
    <t>FACHADA ENVIDRAÇADA- (m²)</t>
  </si>
  <si>
    <t>Janelas</t>
  </si>
  <si>
    <t>S02</t>
  </si>
  <si>
    <t>S01</t>
  </si>
  <si>
    <t>Spiderglass</t>
  </si>
  <si>
    <t>Clínica escola</t>
  </si>
  <si>
    <t>JB29</t>
  </si>
  <si>
    <t>JB28</t>
  </si>
  <si>
    <t>JB27</t>
  </si>
  <si>
    <t>JB26</t>
  </si>
  <si>
    <t>JB25</t>
  </si>
  <si>
    <t>JB24</t>
  </si>
  <si>
    <t>JB23</t>
  </si>
  <si>
    <t>JB22</t>
  </si>
  <si>
    <t>JB21</t>
  </si>
  <si>
    <t>JB20</t>
  </si>
  <si>
    <t>JB19</t>
  </si>
  <si>
    <t>JB18</t>
  </si>
  <si>
    <t>JB17</t>
  </si>
  <si>
    <t>JB16</t>
  </si>
  <si>
    <t>JB15</t>
  </si>
  <si>
    <t>JB14</t>
  </si>
  <si>
    <t>JB13</t>
  </si>
  <si>
    <t>JB12</t>
  </si>
  <si>
    <t>JB11</t>
  </si>
  <si>
    <t>JB10</t>
  </si>
  <si>
    <t>JB09</t>
  </si>
  <si>
    <t>JB08</t>
  </si>
  <si>
    <t>JB07</t>
  </si>
  <si>
    <t>JB06</t>
  </si>
  <si>
    <t>JB05</t>
  </si>
  <si>
    <t>JB04</t>
  </si>
  <si>
    <t>JB03</t>
  </si>
  <si>
    <t>JB02</t>
  </si>
  <si>
    <t>JB01</t>
  </si>
  <si>
    <t>Quantitativo - Janelas ( Campus Barbalha)</t>
  </si>
  <si>
    <t>P09</t>
  </si>
  <si>
    <t>P08</t>
  </si>
  <si>
    <t>P07</t>
  </si>
  <si>
    <t>P06</t>
  </si>
  <si>
    <t>P21</t>
  </si>
  <si>
    <t>P20</t>
  </si>
  <si>
    <t>P16</t>
  </si>
  <si>
    <t>P15</t>
  </si>
  <si>
    <t>P14</t>
  </si>
  <si>
    <t>P13</t>
  </si>
  <si>
    <t>P12</t>
  </si>
  <si>
    <t>P11</t>
  </si>
  <si>
    <t>P05</t>
  </si>
  <si>
    <t>12 VISORES</t>
  </si>
  <si>
    <t>P04</t>
  </si>
  <si>
    <t>2 VISORES</t>
  </si>
  <si>
    <t>Portas</t>
  </si>
  <si>
    <t>Quantitativo - Portas ( Campus Barbalha)</t>
  </si>
  <si>
    <t>2 Visores</t>
  </si>
  <si>
    <t>Quantitativo - Portas( Campus Brejo Santo)</t>
  </si>
  <si>
    <t>V3</t>
  </si>
  <si>
    <t>Total  - (m²)</t>
  </si>
  <si>
    <t>COM RISCO (INTERNA)  - (m²)</t>
  </si>
  <si>
    <t>COM RISCO (EXTERNA)  - (m²)</t>
  </si>
  <si>
    <t>SEM RISCO (EXTERNA)  - (m²)</t>
  </si>
  <si>
    <t xml:space="preserve">Visores </t>
  </si>
  <si>
    <t>JE</t>
  </si>
  <si>
    <t xml:space="preserve">Janelas  </t>
  </si>
  <si>
    <t>Quantitativo - Janelas ( Campus Brejo Santo)</t>
  </si>
  <si>
    <t>Forro em fibra mineral</t>
  </si>
  <si>
    <t>Recepção e espera</t>
  </si>
  <si>
    <t>Forro gesso acartonado/forro em PVC</t>
  </si>
  <si>
    <t>Recepção/Triagem</t>
  </si>
  <si>
    <t>Sala de segurança</t>
  </si>
  <si>
    <t>Gabinete técnico</t>
  </si>
  <si>
    <t>Gabinete docentes</t>
  </si>
  <si>
    <t>Sala de convivência doc.e téc.</t>
  </si>
  <si>
    <t>Sala de descanso doc e téc.</t>
  </si>
  <si>
    <t>Coodenação hospitalar</t>
  </si>
  <si>
    <t>Direção hospitalar</t>
  </si>
  <si>
    <t>Depósito materiais salas de aula</t>
  </si>
  <si>
    <t>Wc acessível masculino</t>
  </si>
  <si>
    <t>Forro em PVC</t>
  </si>
  <si>
    <t>Wc acessível feminino</t>
  </si>
  <si>
    <t>Banheiro coletivo feminino</t>
  </si>
  <si>
    <t>Banheiro coletivo masculino</t>
  </si>
  <si>
    <t>Hall banheiros</t>
  </si>
  <si>
    <t>C1</t>
  </si>
  <si>
    <t>Circulação 1</t>
  </si>
  <si>
    <t>Circulação 2</t>
  </si>
  <si>
    <t>C2</t>
  </si>
  <si>
    <t>Circulação 3</t>
  </si>
  <si>
    <t>C3</t>
  </si>
  <si>
    <t>Porcelanato/tinta</t>
  </si>
  <si>
    <t>C4</t>
  </si>
  <si>
    <t>C5</t>
  </si>
  <si>
    <t>C6</t>
  </si>
  <si>
    <t>C7</t>
  </si>
  <si>
    <t>Sala de atend.de pequenos animais contaminados</t>
  </si>
  <si>
    <t>Sala internação infectocontagiosas gatos</t>
  </si>
  <si>
    <t>Sala internação infectocontagiosas cães</t>
  </si>
  <si>
    <t>Laboratório de patologia clínica</t>
  </si>
  <si>
    <t>Cerâmica/tinta</t>
  </si>
  <si>
    <t>Laboratório de microbiologia</t>
  </si>
  <si>
    <t>Lavagem e esterelização</t>
  </si>
  <si>
    <t>303-A</t>
  </si>
  <si>
    <t>Método 1</t>
  </si>
  <si>
    <t>303-B</t>
  </si>
  <si>
    <t>Laboratório de infectologia</t>
  </si>
  <si>
    <t>302-A</t>
  </si>
  <si>
    <t>Método 2</t>
  </si>
  <si>
    <t>302-B</t>
  </si>
  <si>
    <t>Labortório de parasitologia</t>
  </si>
  <si>
    <t>Sala de soroterapia 2</t>
  </si>
  <si>
    <t>Laudo raio-x</t>
  </si>
  <si>
    <t>Sala de raio-x</t>
  </si>
  <si>
    <t>Dispensário de medicamentos</t>
  </si>
  <si>
    <t>Est. Química</t>
  </si>
  <si>
    <t>205-A</t>
  </si>
  <si>
    <t>Sala internação gatos</t>
  </si>
  <si>
    <t>Sala internação cães</t>
  </si>
  <si>
    <t>Sala de ultrassonografia e eletrocardiografia</t>
  </si>
  <si>
    <t>Sala de soroterapia 1</t>
  </si>
  <si>
    <t>C8</t>
  </si>
  <si>
    <t>C9</t>
  </si>
  <si>
    <t>Forro gesso acartonado</t>
  </si>
  <si>
    <t>Circulação 10</t>
  </si>
  <si>
    <t>Wc/cabine acessível feminino</t>
  </si>
  <si>
    <t>Vestiário feminino</t>
  </si>
  <si>
    <t>Wc/cabine acessível masculino</t>
  </si>
  <si>
    <t>Vestiário masculino</t>
  </si>
  <si>
    <t>Sala de suprimentos</t>
  </si>
  <si>
    <t>Esterelização</t>
  </si>
  <si>
    <t>Materias Est.</t>
  </si>
  <si>
    <t>402-A</t>
  </si>
  <si>
    <t>Armazenamento temp. de animais mortos</t>
  </si>
  <si>
    <t>Expurgo/abrigo temporário</t>
  </si>
  <si>
    <t>Sala cirúrgica de pequenos animais</t>
  </si>
  <si>
    <t>Vinílico</t>
  </si>
  <si>
    <t>Sala cirúrgica de pequneos animais contamindos</t>
  </si>
  <si>
    <t>Sala indução anestésica</t>
  </si>
  <si>
    <t>Sala de reuperação anestésica</t>
  </si>
  <si>
    <t>Sala técnica (elétrica e dti)</t>
  </si>
  <si>
    <t>Aparente com tinta acrílica</t>
  </si>
  <si>
    <t>Wc guarita</t>
  </si>
  <si>
    <t>Obras futuras - PREVISÃO PARA 2026</t>
  </si>
  <si>
    <t>Obras futuras - PREVISÃO PARA 2027</t>
  </si>
  <si>
    <t>GUARITA HVU</t>
  </si>
  <si>
    <t>Calçada</t>
  </si>
  <si>
    <t>Rua</t>
  </si>
  <si>
    <t>J13/J14</t>
  </si>
  <si>
    <t>V4</t>
  </si>
  <si>
    <t>Clínica médica de pequenos animais</t>
  </si>
  <si>
    <t>V5</t>
  </si>
  <si>
    <t>V6</t>
  </si>
  <si>
    <t>V7</t>
  </si>
  <si>
    <t>Cirúrgico</t>
  </si>
  <si>
    <t>J5/J15</t>
  </si>
  <si>
    <t>APÓS ENTREGA DE OBRAS EM 2026</t>
  </si>
  <si>
    <t>APÓS ENTREGA DE OBRAS EM 2027</t>
  </si>
  <si>
    <t>HVU - hospital</t>
  </si>
  <si>
    <t>HVU - baias</t>
  </si>
  <si>
    <t>HVU - guarita</t>
  </si>
  <si>
    <t>HVU - abrigo de gerador</t>
  </si>
  <si>
    <t>HVU - lanchonete</t>
  </si>
  <si>
    <t>CAMPUS CRATO - 2026</t>
  </si>
  <si>
    <t>CAMPUS CRATO - 2027</t>
  </si>
  <si>
    <t>BLOCO O</t>
  </si>
  <si>
    <t>HALL DE ENTRADA</t>
  </si>
  <si>
    <t>Forro em Drywall</t>
  </si>
  <si>
    <t>WC COLETIVO FEMININO</t>
  </si>
  <si>
    <t>WC ACESSÍVEL FEMININO</t>
  </si>
  <si>
    <t>WC COLETIVO MASCULINO</t>
  </si>
  <si>
    <t>WC ACESSÍVEL MASCULINO</t>
  </si>
  <si>
    <t>SALA TÉCNICA</t>
  </si>
  <si>
    <t>CORREDOR DE CIRCULAÇÃO</t>
  </si>
  <si>
    <t>SALA DE AULA O01</t>
  </si>
  <si>
    <t>O01</t>
  </si>
  <si>
    <t>Forro em Fibra mineral</t>
  </si>
  <si>
    <t>SALA DE AULA O02</t>
  </si>
  <si>
    <t>O02</t>
  </si>
  <si>
    <t>SALA DE AULA O03</t>
  </si>
  <si>
    <t>O03</t>
  </si>
  <si>
    <t>SALA DE AULA O04</t>
  </si>
  <si>
    <t>O04</t>
  </si>
  <si>
    <t>SALA DE AULA O05</t>
  </si>
  <si>
    <t>O05</t>
  </si>
  <si>
    <t>SALA DE AULA O06</t>
  </si>
  <si>
    <t>O06</t>
  </si>
  <si>
    <t>O07</t>
  </si>
  <si>
    <t>O08</t>
  </si>
  <si>
    <t>1º andar</t>
  </si>
  <si>
    <t>SALA DE AULA o101</t>
  </si>
  <si>
    <t>o101</t>
  </si>
  <si>
    <t>SALA DE AULA o102</t>
  </si>
  <si>
    <t>o102</t>
  </si>
  <si>
    <t>SALA DE AULA o103</t>
  </si>
  <si>
    <t>o103</t>
  </si>
  <si>
    <t>SALA DE AULA o104</t>
  </si>
  <si>
    <t>o104</t>
  </si>
  <si>
    <t>SALA o105 - SALA DE CONFERENCIA</t>
  </si>
  <si>
    <t>o105</t>
  </si>
  <si>
    <t>SALA o106 - ADMINISTRATIVO</t>
  </si>
  <si>
    <t>o106</t>
  </si>
  <si>
    <t>SALA o107 - ADMINISTRATIVO</t>
  </si>
  <si>
    <t>o107</t>
  </si>
  <si>
    <t>SALA o108 - ADMINISTRATIVO</t>
  </si>
  <si>
    <t>o108</t>
  </si>
  <si>
    <t>SALA o109 - SAADE</t>
  </si>
  <si>
    <t>o109</t>
  </si>
  <si>
    <t>SALA o110 - CEAD</t>
  </si>
  <si>
    <t>o110</t>
  </si>
  <si>
    <t>SALA o111 - COPA</t>
  </si>
  <si>
    <t>o111</t>
  </si>
  <si>
    <t>ESTACIONAMENTO 01</t>
  </si>
  <si>
    <t>ESTACIONAMENTO 02</t>
  </si>
  <si>
    <t>CALÇADA BLOCO O</t>
  </si>
  <si>
    <t>NINHO SOLDADINHO</t>
  </si>
  <si>
    <t>CALÇADA INFERIOR ESTACIONAMENTO 01</t>
  </si>
  <si>
    <t>CALÇADA ESTACIONAMENTO 02 - CONTORNO</t>
  </si>
  <si>
    <t>CALÇADA ORGÂNICA ESTACIONAMENTO 02</t>
  </si>
  <si>
    <t>PASSARELA CALÇ. ORG. ESTACIONAMENTO 02</t>
  </si>
  <si>
    <t>CALÇADA ORGÂNICA CERÂMICA ESTACONAMENTO 02</t>
  </si>
  <si>
    <t>NINHO SELEIRO</t>
  </si>
  <si>
    <t>JARDIM ESTACIONAMENTO 01 BLOCO O</t>
  </si>
  <si>
    <t>JARDIM ESTACIONAMENTO 02</t>
  </si>
  <si>
    <t>Pavimento</t>
  </si>
  <si>
    <t>Ambiente</t>
  </si>
  <si>
    <t>Código da janela</t>
  </si>
  <si>
    <t>Área (m2)</t>
  </si>
  <si>
    <t>SALA DE AULA o01</t>
  </si>
  <si>
    <t>SALA DE AULA o02</t>
  </si>
  <si>
    <t>SALA DE AULA o03</t>
  </si>
  <si>
    <t>SALA DE AULA o04</t>
  </si>
  <si>
    <t>SALA DE AULA o05</t>
  </si>
  <si>
    <t>SALA DE AULA o06</t>
  </si>
  <si>
    <t>LABORATÓRIO DE INFOR. o07</t>
  </si>
  <si>
    <t>LABORATÓRIO DE INFOR. o08</t>
  </si>
  <si>
    <t>SALA DE CONFERÊNCIA o105</t>
  </si>
  <si>
    <t>P8 - Porta</t>
  </si>
  <si>
    <t>P8 - Janela fixa</t>
  </si>
  <si>
    <t>SALA ADMINISTRATIVA o106</t>
  </si>
  <si>
    <t>SALA ADMINISTRATIVA o107</t>
  </si>
  <si>
    <t>SALA ADMINISTRATIVA o108</t>
  </si>
  <si>
    <t>SALA ADMINISTRATIVA - SAADE o109</t>
  </si>
  <si>
    <t>SALA ADMINISTRATIVA - CEAD o110</t>
  </si>
  <si>
    <t>COPA o111</t>
  </si>
  <si>
    <t>REFEITÓRIO</t>
  </si>
  <si>
    <t>REFEITÓRIO UNIVERSITÁRIO</t>
  </si>
  <si>
    <t>Salão de refeições</t>
  </si>
  <si>
    <t>Preparação</t>
  </si>
  <si>
    <t>Estoque</t>
  </si>
  <si>
    <t>Paramentação</t>
  </si>
  <si>
    <t xml:space="preserve">WC Acessível </t>
  </si>
  <si>
    <t>WC acessível feminino</t>
  </si>
  <si>
    <t>WC acessível masculino</t>
  </si>
  <si>
    <t>WC masculino</t>
  </si>
  <si>
    <t xml:space="preserve">WC feminino </t>
  </si>
  <si>
    <t>Bilheteria</t>
  </si>
  <si>
    <t>Lavagem</t>
  </si>
  <si>
    <t>Calçada e rampa</t>
  </si>
  <si>
    <t>(Portas)</t>
  </si>
  <si>
    <t>ENTREGA EM 2026</t>
  </si>
  <si>
    <t>Entrega em 2027</t>
  </si>
  <si>
    <t>WC Coletivo feminino</t>
  </si>
  <si>
    <t>WC Coletivo masculino</t>
  </si>
  <si>
    <t>WC Acessível feminino</t>
  </si>
  <si>
    <t>WC Acessível masculino</t>
  </si>
  <si>
    <t>WC Acessível Unissex</t>
  </si>
  <si>
    <t>Sala de estudos coletivo</t>
  </si>
  <si>
    <t>Sala de estudos individual</t>
  </si>
  <si>
    <t>Sala de estudos individual acessível</t>
  </si>
  <si>
    <t xml:space="preserve">Sala de treinamento </t>
  </si>
  <si>
    <t>Sala de devolução/recepção</t>
  </si>
  <si>
    <t>Sala de leitura</t>
  </si>
  <si>
    <t>Chefia</t>
  </si>
  <si>
    <t>Núcleo de aquisição</t>
  </si>
  <si>
    <t>Núcleo de desenv./ núcleo de info e tecnologia</t>
  </si>
  <si>
    <t>Catalogação / processo técnico restauro</t>
  </si>
  <si>
    <t>Galeria</t>
  </si>
  <si>
    <t>Forro mineral e gesso acartonado</t>
  </si>
  <si>
    <t>Cerâmica/ pintura</t>
  </si>
  <si>
    <t>ENTREGA EM 2027</t>
  </si>
  <si>
    <t>(portas)</t>
  </si>
  <si>
    <t>(visor)</t>
  </si>
  <si>
    <t>(janela)</t>
  </si>
  <si>
    <t>2026/2027</t>
  </si>
  <si>
    <t>QUANTITATIVO GERAL - ESQUADRIAS - 2024</t>
  </si>
  <si>
    <t>ESQUADRIAS COM VIDRO</t>
  </si>
  <si>
    <t>QUANTITATIVO GERAL - ESQUADRIAS - 2026</t>
  </si>
  <si>
    <t>QUANTITATIVO GERAL - ESQUADRIAS - 2027</t>
  </si>
  <si>
    <t>LANTERNIM</t>
  </si>
  <si>
    <t>ESTIMATIVA PARA 2026</t>
  </si>
  <si>
    <t>ESTIMATIVA PARA 2027</t>
  </si>
  <si>
    <t>PORTAS - ATÉ 2024</t>
  </si>
  <si>
    <t>JANELAS - ATÉ 2024</t>
  </si>
  <si>
    <t>AUDITÓRIO - JANELAS</t>
  </si>
  <si>
    <t>AUDITÓRIO - PORTAS</t>
  </si>
  <si>
    <t>HVU - PORTAS</t>
  </si>
  <si>
    <t>HVU - JANELAS</t>
  </si>
  <si>
    <t>SOMA</t>
  </si>
  <si>
    <t>ESTIMATVA COM ACRÉSCIMO DE ÁREA EM 2026</t>
  </si>
  <si>
    <t>ATUALIZAÇÃO: 05/2025</t>
  </si>
  <si>
    <t>COM ESTIMATVA DE ACRÉSCIMO DE ÁREA EM 2027</t>
  </si>
  <si>
    <t>COM ESTIMATVA COM ACRÉSCIMO DE ÁREA EM 2026</t>
  </si>
  <si>
    <t>ESTIMATVA COM ACRÉSCIMO DE ÁREA EM 2027</t>
  </si>
  <si>
    <t>ESTIMATVA APÓS ACRÉSCIMO DE ÁREA EM 2026</t>
  </si>
  <si>
    <t>ESTIMATVA APÓS ACRÉSCIMO DE ÁREA EM 2027</t>
  </si>
  <si>
    <t>Área ocupada (m2)</t>
  </si>
  <si>
    <t>ÁREA OCUPADA - PROJEÇÃO DA OCUPAÇÃO (M2)</t>
  </si>
  <si>
    <t>Parte da UPA não computada</t>
  </si>
  <si>
    <t>Obs: área da UPA não incluída</t>
  </si>
  <si>
    <t>Área Verde inclusa na área externa</t>
  </si>
  <si>
    <r>
      <rPr>
        <b/>
        <sz val="11"/>
        <color theme="1"/>
        <rFont val="Calibri"/>
        <family val="2"/>
        <scheme val="minor"/>
      </rPr>
      <t>ATUALIZAÇÃO 10/02/2025</t>
    </r>
    <r>
      <rPr>
        <sz val="11"/>
        <color theme="1"/>
        <rFont val="Calibri"/>
        <family val="2"/>
        <scheme val="minor"/>
      </rPr>
      <t xml:space="preserve">
&gt; Foi acrescentada a "Área não habitada" nos campi Crato e Juazeiro do Norte. Corresponde à área não edificada por fora da margem urbanizada dos Campi. No caso do Campus Crato, inclui as áreas de campos de experimentação (plantação). Ela corresponde à área do terreno menos a área externa e a área construída.
&gt; Apesar do terreno doado ao Campus Icó, ele não é computado nessa planilha.</t>
    </r>
  </si>
  <si>
    <r>
      <rPr>
        <b/>
        <sz val="11"/>
        <color theme="1"/>
        <rFont val="Calibri"/>
        <family val="2"/>
        <scheme val="minor"/>
      </rPr>
      <t>ATUALIZAÇÃO 30/05/2025</t>
    </r>
    <r>
      <rPr>
        <sz val="11"/>
        <color theme="1"/>
        <rFont val="Calibri"/>
        <family val="2"/>
        <scheme val="minor"/>
      </rPr>
      <t xml:space="preserve">
&gt; Foram acrescentadas mais 2 planilhas nas abas de total: total após conclusão das obras de 2026 e total após conclusão das obras em 2027</t>
    </r>
  </si>
  <si>
    <t>DATA ATUALIZAÇÕES: 15/06/2018; 06/08/2018; 04/04/2019; 24/04/2019;25/07/2024;06/08/2024;10/02/2025;30/05/2025</t>
  </si>
  <si>
    <t>HVU (total)</t>
  </si>
  <si>
    <t>m2</t>
  </si>
  <si>
    <t>TOTAL (UFCA a construir)</t>
  </si>
  <si>
    <t>Sala de amamentação e fraldário</t>
  </si>
  <si>
    <r>
      <t xml:space="preserve">ATUALIZAÇÃO 21/07/2025
</t>
    </r>
    <r>
      <rPr>
        <sz val="11"/>
        <color theme="1"/>
        <rFont val="Calibri"/>
        <family val="2"/>
        <scheme val="minor"/>
      </rPr>
      <t>&gt; Foram atualizadas as ocupações de DML para Copa no bloco K e atualizado o serviço de copa em parte da Circulação do bloco i.</t>
    </r>
  </si>
  <si>
    <t>Gabinete de professor</t>
  </si>
  <si>
    <t>Atendimento ambulatorial</t>
  </si>
  <si>
    <r>
      <t xml:space="preserve">ATUALIZAÇÃO 30/07/2025
</t>
    </r>
    <r>
      <rPr>
        <sz val="11"/>
        <color theme="1"/>
        <rFont val="Calibri"/>
        <family val="2"/>
        <scheme val="minor"/>
      </rPr>
      <t>&gt; Troca de uso das salas C06 e B01.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</si>
</sst>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R$&quot;\ #,##0.00;[Red]\-&quot;R$&quot;\ #,##0.00"/>
    <numFmt numFmtId="164" formatCode="#,##0.0"/>
  </numFmts>
  <fonts count="32">
    <font>
      <sz val="11"/>
      <color theme="1"/>
      <name val="Calibri"/>
      <family val="2"/>
      <scheme val="minor"/>
    </font>
    <font>
      <sz val="11"/>
      <color theme="9" tint="-0.249977111117893"/>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color rgb="FFFF0000"/>
      <name val="Calibri"/>
      <family val="2"/>
      <scheme val="minor"/>
    </font>
    <font>
      <b/>
      <sz val="11"/>
      <color rgb="FF3F3F3F"/>
      <name val="Calibri"/>
      <family val="2"/>
      <scheme val="minor"/>
    </font>
    <font>
      <b/>
      <sz val="11"/>
      <color theme="1"/>
      <name val="Calibri"/>
      <family val="2"/>
      <scheme val="minor"/>
    </font>
    <font>
      <sz val="11"/>
      <name val="Calibri"/>
      <family val="2"/>
    </font>
    <font>
      <b/>
      <sz val="11"/>
      <color rgb="FFFF0000"/>
      <name val="Calibri"/>
      <family val="2"/>
      <scheme val="minor"/>
    </font>
    <font>
      <i/>
      <sz val="11"/>
      <color theme="1"/>
      <name val="Calibri"/>
      <family val="2"/>
      <scheme val="minor"/>
    </font>
    <font>
      <sz val="12"/>
      <color theme="1"/>
      <name val="Alegreya Sans ExtraBold"/>
      <family val="3"/>
    </font>
    <font>
      <sz val="11"/>
      <color rgb="FF9C0006"/>
      <name val="Calibri"/>
      <family val="2"/>
      <scheme val="minor"/>
    </font>
    <font>
      <b/>
      <sz val="11"/>
      <name val="Calibri"/>
      <family val="2"/>
      <scheme val="minor"/>
    </font>
    <font>
      <sz val="8"/>
      <name val="Calibri"/>
      <family val="2"/>
      <scheme val="minor"/>
    </font>
    <font>
      <sz val="10"/>
      <name val="Calibri"/>
      <family val="2"/>
      <scheme val="minor"/>
    </font>
    <font>
      <sz val="12"/>
      <color theme="1"/>
      <name val="Times New Roman"/>
      <family val="1"/>
    </font>
    <font>
      <b/>
      <sz val="12"/>
      <color theme="1"/>
      <name val="Times New Roman"/>
      <family val="1"/>
    </font>
    <font>
      <b/>
      <sz val="10"/>
      <name val="Calibri"/>
      <family val="2"/>
      <scheme val="minor"/>
    </font>
    <font>
      <i/>
      <sz val="11"/>
      <color rgb="FF7F7F7F"/>
      <name val="Calibri"/>
      <family val="2"/>
      <scheme val="minor"/>
    </font>
    <font>
      <u/>
      <sz val="11"/>
      <color theme="10"/>
      <name val="Calibri"/>
      <family val="2"/>
      <scheme val="minor"/>
    </font>
    <font>
      <sz val="11"/>
      <color rgb="FF000000"/>
      <name val="Calibri4"/>
    </font>
    <font>
      <u/>
      <sz val="11"/>
      <color theme="1"/>
      <name val="Calibri"/>
      <family val="2"/>
      <scheme val="minor"/>
    </font>
    <font>
      <sz val="11"/>
      <color theme="1"/>
      <name val="Times New Roman"/>
      <family val="1"/>
    </font>
    <font>
      <b/>
      <sz val="14"/>
      <color theme="1"/>
      <name val="Times New Roman"/>
      <family val="1"/>
    </font>
    <font>
      <b/>
      <sz val="11"/>
      <color theme="1"/>
      <name val="Times New Roman"/>
      <family val="1"/>
    </font>
    <font>
      <b/>
      <sz val="18"/>
      <color theme="1"/>
      <name val="Times New Roman"/>
      <family val="1"/>
    </font>
    <font>
      <b/>
      <sz val="16"/>
      <color theme="1"/>
      <name val="Times New Roman"/>
      <family val="1"/>
    </font>
    <font>
      <b/>
      <sz val="12"/>
      <color theme="1"/>
      <name val="Calibri"/>
      <family val="2"/>
      <scheme val="minor"/>
    </font>
    <font>
      <b/>
      <sz val="10"/>
      <color rgb="FFFF0000"/>
      <name val="Calibri"/>
      <family val="2"/>
      <scheme val="minor"/>
    </font>
    <font>
      <sz val="10"/>
      <color rgb="FFFF0000"/>
      <name val="Calibri"/>
      <family val="2"/>
      <scheme val="minor"/>
    </font>
    <font>
      <b/>
      <sz val="10"/>
      <color rgb="FF0070C0"/>
      <name val="Calibri"/>
      <family val="2"/>
      <scheme val="minor"/>
    </font>
  </fonts>
  <fills count="3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2F2F2"/>
      </patternFill>
    </fill>
    <fill>
      <patternFill patternType="solid">
        <fgColor theme="9" tint="0.39997558519241921"/>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rgb="FFFF9999"/>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rgb="FFFAA2F0"/>
        <bgColor indexed="64"/>
      </patternFill>
    </fill>
    <fill>
      <patternFill patternType="solid">
        <fgColor rgb="FFFFC7CE"/>
      </patternFill>
    </fill>
    <fill>
      <patternFill patternType="solid">
        <fgColor rgb="FFFFC00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2" tint="-9.9978637043366805E-2"/>
        <bgColor indexed="64"/>
      </patternFill>
    </fill>
    <fill>
      <patternFill patternType="solid">
        <fgColor theme="0"/>
        <bgColor indexed="64"/>
      </patternFill>
    </fill>
    <fill>
      <patternFill patternType="solid">
        <fgColor rgb="FFFFCCCC"/>
        <bgColor indexed="64"/>
      </patternFill>
    </fill>
    <fill>
      <patternFill patternType="solid">
        <fgColor theme="2"/>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4"/>
        <bgColor indexed="64"/>
      </patternFill>
    </fill>
    <fill>
      <patternFill patternType="solid">
        <fgColor theme="8" tint="-0.249977111117893"/>
        <bgColor indexed="64"/>
      </patternFill>
    </fill>
    <fill>
      <patternFill patternType="solid">
        <fgColor theme="6" tint="0.39997558519241921"/>
        <bgColor indexed="64"/>
      </patternFill>
    </fill>
    <fill>
      <patternFill patternType="solid">
        <fgColor rgb="FF0070C0"/>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rgb="FF3F3F3F"/>
      </right>
      <top/>
      <bottom style="thin">
        <color rgb="FF3F3F3F"/>
      </bottom>
      <diagonal/>
    </border>
    <border>
      <left style="medium">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style="thin">
        <color rgb="FF3F3F3F"/>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rgb="FF000000"/>
      </left>
      <right/>
      <top style="medium">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diagonal/>
    </border>
    <border>
      <left/>
      <right style="medium">
        <color rgb="FF000000"/>
      </right>
      <top style="medium">
        <color rgb="FF000000"/>
      </top>
      <bottom style="medium">
        <color rgb="FF000000"/>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0" fontId="6" fillId="4" borderId="5" applyNumberFormat="0" applyAlignment="0" applyProtection="0"/>
    <xf numFmtId="0" fontId="12" fillId="18" borderId="0" applyNumberFormat="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cellStyleXfs>
  <cellXfs count="836">
    <xf numFmtId="0" fontId="0" fillId="0" borderId="0" xfId="0"/>
    <xf numFmtId="2" fontId="0" fillId="0" borderId="0" xfId="0" applyNumberFormat="1" applyAlignment="1">
      <alignment horizontal="center" vertical="center"/>
    </xf>
    <xf numFmtId="2" fontId="0" fillId="0" borderId="0" xfId="0" applyNumberFormat="1"/>
    <xf numFmtId="0" fontId="0" fillId="0" borderId="0" xfId="0" applyAlignment="1">
      <alignment horizontal="center" vertical="center"/>
    </xf>
    <xf numFmtId="0" fontId="0" fillId="0" borderId="0" xfId="0" applyAlignment="1">
      <alignment horizontal="right"/>
    </xf>
    <xf numFmtId="0" fontId="0" fillId="0" borderId="0" xfId="0" applyAlignment="1">
      <alignment wrapText="1"/>
    </xf>
    <xf numFmtId="164" fontId="0" fillId="0" borderId="0" xfId="0" applyNumberFormat="1"/>
    <xf numFmtId="0" fontId="4" fillId="0" borderId="4" xfId="0" applyFont="1" applyBorder="1" applyAlignment="1">
      <alignment horizontal="center" vertical="center"/>
    </xf>
    <xf numFmtId="2" fontId="0" fillId="0" borderId="0" xfId="0" applyNumberFormat="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vertical="center"/>
    </xf>
    <xf numFmtId="0" fontId="0" fillId="0" borderId="0" xfId="0" applyAlignment="1">
      <alignment horizontal="center"/>
    </xf>
    <xf numFmtId="0" fontId="0" fillId="0" borderId="9" xfId="0" applyBorder="1" applyAlignment="1">
      <alignment horizontal="center"/>
    </xf>
    <xf numFmtId="0" fontId="2" fillId="0" borderId="9" xfId="0" applyFont="1" applyBorder="1" applyAlignment="1">
      <alignment horizontal="center" vertical="center"/>
    </xf>
    <xf numFmtId="0" fontId="0" fillId="0" borderId="10" xfId="0" applyBorder="1" applyAlignment="1">
      <alignment horizontal="center" vertical="center"/>
    </xf>
    <xf numFmtId="2" fontId="0" fillId="0" borderId="9" xfId="0" applyNumberFormat="1" applyBorder="1" applyAlignment="1">
      <alignment horizontal="center" vertical="center"/>
    </xf>
    <xf numFmtId="0" fontId="2" fillId="0" borderId="9" xfId="0" applyFont="1" applyBorder="1" applyAlignment="1">
      <alignment horizontal="center"/>
    </xf>
    <xf numFmtId="0" fontId="0" fillId="0" borderId="9" xfId="0" applyBorder="1" applyAlignment="1">
      <alignment horizontal="center" wrapText="1"/>
    </xf>
    <xf numFmtId="0" fontId="0" fillId="0" borderId="9" xfId="0" applyBorder="1" applyAlignment="1">
      <alignment horizontal="center" vertical="center"/>
    </xf>
    <xf numFmtId="0" fontId="0" fillId="5" borderId="9" xfId="0" applyFill="1" applyBorder="1" applyAlignment="1">
      <alignment horizontal="center" vertical="center"/>
    </xf>
    <xf numFmtId="0" fontId="3" fillId="2" borderId="1" xfId="0" applyFont="1" applyFill="1" applyBorder="1" applyAlignment="1">
      <alignment horizontal="center" vertical="center" wrapText="1"/>
    </xf>
    <xf numFmtId="0" fontId="0" fillId="0" borderId="9" xfId="0" applyBorder="1" applyAlignment="1">
      <alignment vertical="center"/>
    </xf>
    <xf numFmtId="0" fontId="2" fillId="0" borderId="12" xfId="0" applyFont="1" applyBorder="1" applyAlignment="1">
      <alignment horizontal="center" vertical="center"/>
    </xf>
    <xf numFmtId="0" fontId="0" fillId="7" borderId="9" xfId="0" applyFill="1" applyBorder="1"/>
    <xf numFmtId="2" fontId="0" fillId="0" borderId="13" xfId="0" applyNumberFormat="1" applyBorder="1" applyAlignment="1">
      <alignment horizontal="center" vertical="center"/>
    </xf>
    <xf numFmtId="2" fontId="0" fillId="0" borderId="6" xfId="0" applyNumberFormat="1" applyBorder="1" applyAlignment="1">
      <alignment horizontal="center" vertical="center"/>
    </xf>
    <xf numFmtId="0" fontId="3" fillId="0" borderId="9" xfId="0" applyFont="1" applyBorder="1" applyAlignment="1">
      <alignment horizontal="left"/>
    </xf>
    <xf numFmtId="0" fontId="0" fillId="0" borderId="9" xfId="0" applyBorder="1" applyAlignment="1">
      <alignment horizontal="center" vertical="center" wrapText="1"/>
    </xf>
    <xf numFmtId="2" fontId="0" fillId="0" borderId="10" xfId="0" applyNumberFormat="1" applyBorder="1" applyAlignment="1">
      <alignment horizontal="center" vertical="center"/>
    </xf>
    <xf numFmtId="0" fontId="0" fillId="2" borderId="9" xfId="0" applyFill="1" applyBorder="1" applyAlignment="1">
      <alignment horizontal="center" vertical="center" wrapText="1"/>
    </xf>
    <xf numFmtId="0" fontId="0" fillId="2" borderId="1" xfId="0" applyFill="1" applyBorder="1" applyAlignment="1">
      <alignment horizontal="center" vertical="center"/>
    </xf>
    <xf numFmtId="0" fontId="3" fillId="2" borderId="9" xfId="0" applyFont="1" applyFill="1" applyBorder="1" applyAlignment="1">
      <alignment horizontal="center" vertical="center" wrapText="1"/>
    </xf>
    <xf numFmtId="2" fontId="2" fillId="0" borderId="9" xfId="0" applyNumberFormat="1" applyFont="1" applyBorder="1" applyAlignment="1">
      <alignment horizontal="center" vertical="center"/>
    </xf>
    <xf numFmtId="2" fontId="0" fillId="8" borderId="9" xfId="0" applyNumberFormat="1" applyFill="1" applyBorder="1" applyAlignment="1">
      <alignment horizontal="center" vertical="center"/>
    </xf>
    <xf numFmtId="0" fontId="2" fillId="0" borderId="9" xfId="0" applyFont="1" applyBorder="1" applyAlignment="1">
      <alignment horizontal="center" vertical="center" wrapText="1"/>
    </xf>
    <xf numFmtId="2" fontId="1" fillId="0" borderId="9" xfId="0" applyNumberFormat="1" applyFont="1" applyBorder="1" applyAlignment="1">
      <alignment horizontal="center" vertical="center"/>
    </xf>
    <xf numFmtId="2" fontId="0" fillId="0" borderId="9" xfId="0" applyNumberFormat="1" applyBorder="1" applyAlignment="1">
      <alignment horizontal="center" vertical="center" wrapText="1"/>
    </xf>
    <xf numFmtId="0" fontId="0" fillId="6" borderId="9" xfId="0" applyFill="1" applyBorder="1" applyAlignment="1">
      <alignment horizontal="center" vertical="center"/>
    </xf>
    <xf numFmtId="0" fontId="3" fillId="2" borderId="9" xfId="0" applyFont="1" applyFill="1" applyBorder="1" applyAlignment="1">
      <alignment horizontal="center" vertical="center"/>
    </xf>
    <xf numFmtId="0" fontId="2" fillId="0" borderId="9" xfId="1" applyFont="1" applyFill="1" applyBorder="1" applyAlignment="1">
      <alignment horizontal="center" vertical="center"/>
    </xf>
    <xf numFmtId="0" fontId="0" fillId="0" borderId="0" xfId="0" applyAlignment="1">
      <alignment horizontal="center" vertical="center" wrapText="1"/>
    </xf>
    <xf numFmtId="2" fontId="3" fillId="2" borderId="1" xfId="0" applyNumberFormat="1" applyFont="1" applyFill="1" applyBorder="1" applyAlignment="1">
      <alignment horizontal="center" vertical="center" wrapText="1"/>
    </xf>
    <xf numFmtId="0" fontId="0" fillId="9" borderId="0" xfId="0" applyFill="1"/>
    <xf numFmtId="0" fontId="0" fillId="9" borderId="0" xfId="0" applyFill="1" applyAlignment="1">
      <alignment horizontal="center" vertical="center"/>
    </xf>
    <xf numFmtId="0" fontId="0" fillId="3" borderId="9" xfId="0" applyFill="1" applyBorder="1" applyAlignment="1">
      <alignment horizontal="center" vertical="center"/>
    </xf>
    <xf numFmtId="0" fontId="0" fillId="2" borderId="10" xfId="0" applyFill="1" applyBorder="1" applyAlignment="1">
      <alignment horizontal="center" vertical="center" wrapText="1"/>
    </xf>
    <xf numFmtId="0" fontId="0" fillId="3" borderId="9" xfId="0" applyFill="1" applyBorder="1" applyAlignment="1">
      <alignment horizontal="center" vertical="center" wrapText="1"/>
    </xf>
    <xf numFmtId="0" fontId="6" fillId="2" borderId="10" xfId="1" applyFill="1" applyBorder="1" applyAlignment="1">
      <alignment vertical="center"/>
    </xf>
    <xf numFmtId="0" fontId="0" fillId="0" borderId="9" xfId="0" applyBorder="1"/>
    <xf numFmtId="2" fontId="0" fillId="0" borderId="9" xfId="0" applyNumberFormat="1" applyBorder="1"/>
    <xf numFmtId="0" fontId="0" fillId="9" borderId="0" xfId="0" applyFill="1" applyAlignment="1">
      <alignment wrapText="1"/>
    </xf>
    <xf numFmtId="0" fontId="0" fillId="0" borderId="7" xfId="0" applyBorder="1" applyAlignment="1">
      <alignment vertical="center" wrapText="1"/>
    </xf>
    <xf numFmtId="0" fontId="3" fillId="2" borderId="9" xfId="0" applyFont="1" applyFill="1" applyBorder="1" applyAlignment="1">
      <alignment horizontal="left" vertical="center"/>
    </xf>
    <xf numFmtId="2" fontId="2" fillId="11" borderId="9" xfId="0" applyNumberFormat="1" applyFont="1" applyFill="1" applyBorder="1" applyAlignment="1">
      <alignment horizontal="center" vertical="center"/>
    </xf>
    <xf numFmtId="0" fontId="6" fillId="2" borderId="9" xfId="1" applyFill="1" applyBorder="1" applyAlignment="1">
      <alignment vertical="center"/>
    </xf>
    <xf numFmtId="0" fontId="0" fillId="0" borderId="2" xfId="0" applyBorder="1" applyAlignment="1">
      <alignment horizontal="center" vertical="center" wrapText="1"/>
    </xf>
    <xf numFmtId="0" fontId="7" fillId="2" borderId="9" xfId="0" applyFont="1" applyFill="1" applyBorder="1" applyAlignment="1">
      <alignment vertical="center" wrapText="1"/>
    </xf>
    <xf numFmtId="0" fontId="0" fillId="2" borderId="9" xfId="0" applyFill="1" applyBorder="1" applyAlignment="1">
      <alignment vertical="center" wrapText="1"/>
    </xf>
    <xf numFmtId="2" fontId="0" fillId="2" borderId="9" xfId="0" applyNumberFormat="1" applyFill="1" applyBorder="1" applyAlignment="1">
      <alignment horizontal="center" vertical="center" wrapText="1"/>
    </xf>
    <xf numFmtId="0" fontId="8" fillId="0" borderId="9" xfId="0" applyFont="1" applyBorder="1" applyAlignment="1">
      <alignment horizontal="center" vertical="center" wrapText="1"/>
    </xf>
    <xf numFmtId="0" fontId="2" fillId="0" borderId="9" xfId="0" applyFont="1" applyBorder="1" applyAlignment="1">
      <alignment horizontal="center" wrapText="1"/>
    </xf>
    <xf numFmtId="0" fontId="0" fillId="0" borderId="9" xfId="0" applyBorder="1" applyAlignment="1">
      <alignment wrapText="1"/>
    </xf>
    <xf numFmtId="0" fontId="5" fillId="0" borderId="9" xfId="0" applyFont="1" applyBorder="1"/>
    <xf numFmtId="0" fontId="9" fillId="0" borderId="9" xfId="0" applyFont="1" applyBorder="1"/>
    <xf numFmtId="0" fontId="0" fillId="0" borderId="9" xfId="0" applyBorder="1" applyAlignment="1">
      <alignment horizontal="left" vertical="center"/>
    </xf>
    <xf numFmtId="0" fontId="2" fillId="0" borderId="0" xfId="0" applyFont="1" applyAlignment="1">
      <alignment horizontal="center" vertical="center"/>
    </xf>
    <xf numFmtId="0" fontId="0" fillId="0" borderId="10" xfId="0" applyBorder="1"/>
    <xf numFmtId="0" fontId="2" fillId="13" borderId="9" xfId="1" applyFont="1" applyFill="1" applyBorder="1" applyAlignment="1">
      <alignment horizontal="center" vertical="center"/>
    </xf>
    <xf numFmtId="0" fontId="0" fillId="7" borderId="7" xfId="0" applyFill="1" applyBorder="1"/>
    <xf numFmtId="0" fontId="0" fillId="17" borderId="0" xfId="0" applyFill="1"/>
    <xf numFmtId="0" fontId="2" fillId="19" borderId="9" xfId="0" applyFont="1" applyFill="1" applyBorder="1" applyAlignment="1">
      <alignment horizontal="center" vertical="center"/>
    </xf>
    <xf numFmtId="0" fontId="12" fillId="18" borderId="0" xfId="2"/>
    <xf numFmtId="0" fontId="2" fillId="19" borderId="9" xfId="2" applyFont="1" applyFill="1" applyBorder="1" applyAlignment="1">
      <alignment horizontal="center" vertical="center"/>
    </xf>
    <xf numFmtId="0" fontId="2" fillId="19" borderId="9" xfId="2" applyFont="1" applyFill="1" applyBorder="1" applyAlignment="1">
      <alignment horizontal="center" wrapText="1"/>
    </xf>
    <xf numFmtId="0" fontId="2" fillId="0" borderId="9" xfId="2" applyFont="1" applyFill="1" applyBorder="1" applyAlignment="1">
      <alignment horizontal="center" vertical="center"/>
    </xf>
    <xf numFmtId="0" fontId="2" fillId="0" borderId="9" xfId="2" applyFont="1" applyFill="1" applyBorder="1" applyAlignment="1">
      <alignment horizontal="center" wrapText="1"/>
    </xf>
    <xf numFmtId="0" fontId="2" fillId="0" borderId="9" xfId="2" applyFont="1" applyFill="1" applyBorder="1" applyAlignment="1">
      <alignment horizontal="center"/>
    </xf>
    <xf numFmtId="0" fontId="12" fillId="18" borderId="0" xfId="2" applyAlignment="1">
      <alignment wrapText="1"/>
    </xf>
    <xf numFmtId="0" fontId="7" fillId="0" borderId="9" xfId="0" applyFont="1" applyBorder="1"/>
    <xf numFmtId="0" fontId="7" fillId="0" borderId="9" xfId="0" applyFont="1" applyBorder="1" applyAlignment="1">
      <alignment wrapText="1"/>
    </xf>
    <xf numFmtId="0" fontId="7" fillId="0" borderId="0" xfId="0" applyFont="1" applyAlignment="1">
      <alignment horizontal="center" vertical="center"/>
    </xf>
    <xf numFmtId="0" fontId="0" fillId="12" borderId="9" xfId="0" applyFill="1" applyBorder="1" applyAlignment="1">
      <alignment horizontal="center" vertical="center" wrapText="1"/>
    </xf>
    <xf numFmtId="0" fontId="0" fillId="12" borderId="9" xfId="0" applyFill="1" applyBorder="1" applyAlignment="1">
      <alignment horizontal="center" vertical="center"/>
    </xf>
    <xf numFmtId="2" fontId="2" fillId="12" borderId="9" xfId="0" applyNumberFormat="1" applyFont="1" applyFill="1" applyBorder="1" applyAlignment="1">
      <alignment horizontal="center" vertical="center"/>
    </xf>
    <xf numFmtId="2" fontId="0" fillId="12" borderId="9" xfId="0" applyNumberFormat="1" applyFill="1" applyBorder="1" applyAlignment="1">
      <alignment horizontal="center" vertical="center"/>
    </xf>
    <xf numFmtId="0" fontId="12" fillId="18" borderId="9" xfId="2" applyBorder="1"/>
    <xf numFmtId="0" fontId="7" fillId="0" borderId="0" xfId="0" applyFont="1" applyAlignment="1">
      <alignment horizontal="center"/>
    </xf>
    <xf numFmtId="0" fontId="7" fillId="12" borderId="9" xfId="0" applyFont="1" applyFill="1" applyBorder="1"/>
    <xf numFmtId="0" fontId="0" fillId="12" borderId="9" xfId="0" applyFill="1" applyBorder="1"/>
    <xf numFmtId="0" fontId="7" fillId="20" borderId="9" xfId="0" applyFont="1" applyFill="1" applyBorder="1"/>
    <xf numFmtId="0" fontId="7" fillId="0" borderId="9" xfId="0" applyFont="1" applyBorder="1" applyAlignment="1">
      <alignment horizontal="center" vertical="center"/>
    </xf>
    <xf numFmtId="0" fontId="0" fillId="2" borderId="7" xfId="0" applyFill="1" applyBorder="1" applyAlignment="1">
      <alignment horizontal="center" vertical="center" wrapText="1"/>
    </xf>
    <xf numFmtId="2" fontId="2" fillId="0" borderId="7" xfId="0" applyNumberFormat="1" applyFont="1" applyBorder="1" applyAlignment="1">
      <alignment horizontal="center" vertical="center"/>
    </xf>
    <xf numFmtId="2" fontId="0" fillId="0" borderId="7" xfId="0" applyNumberFormat="1" applyBorder="1" applyAlignment="1">
      <alignment horizontal="center" vertical="center"/>
    </xf>
    <xf numFmtId="0" fontId="2" fillId="0" borderId="9" xfId="2" applyFont="1" applyFill="1" applyBorder="1"/>
    <xf numFmtId="0" fontId="2" fillId="19" borderId="9" xfId="2" applyFont="1" applyFill="1" applyBorder="1"/>
    <xf numFmtId="0" fontId="0" fillId="0" borderId="9" xfId="0" applyBorder="1" applyAlignment="1">
      <alignment horizontal="left"/>
    </xf>
    <xf numFmtId="0" fontId="0" fillId="2" borderId="9" xfId="0" applyFill="1" applyBorder="1" applyAlignment="1">
      <alignment vertical="center"/>
    </xf>
    <xf numFmtId="0" fontId="0" fillId="0" borderId="9" xfId="0" applyBorder="1" applyAlignment="1">
      <alignment vertical="center" wrapText="1"/>
    </xf>
    <xf numFmtId="0" fontId="0" fillId="21" borderId="9" xfId="0" applyFill="1" applyBorder="1" applyAlignment="1">
      <alignment vertical="center"/>
    </xf>
    <xf numFmtId="0" fontId="7" fillId="22" borderId="14" xfId="0" applyFont="1" applyFill="1" applyBorder="1" applyAlignment="1">
      <alignment vertical="center"/>
    </xf>
    <xf numFmtId="0" fontId="0" fillId="22" borderId="14" xfId="0" applyFill="1" applyBorder="1"/>
    <xf numFmtId="2" fontId="0" fillId="22" borderId="14" xfId="0" applyNumberFormat="1" applyFill="1" applyBorder="1" applyAlignment="1">
      <alignment horizontal="center"/>
    </xf>
    <xf numFmtId="0" fontId="0" fillId="0" borderId="14" xfId="0" applyBorder="1" applyAlignment="1">
      <alignment horizontal="center"/>
    </xf>
    <xf numFmtId="0" fontId="3" fillId="23" borderId="9" xfId="0" applyFont="1" applyFill="1" applyBorder="1" applyAlignment="1">
      <alignment horizontal="center" vertical="center" wrapText="1"/>
    </xf>
    <xf numFmtId="2" fontId="0" fillId="23" borderId="9" xfId="0" applyNumberFormat="1" applyFill="1" applyBorder="1" applyAlignment="1">
      <alignment horizontal="center" vertical="center"/>
    </xf>
    <xf numFmtId="0" fontId="0" fillId="3" borderId="14" xfId="0" applyFill="1" applyBorder="1" applyAlignment="1">
      <alignment horizontal="center" vertical="center" wrapText="1"/>
    </xf>
    <xf numFmtId="0" fontId="3" fillId="2" borderId="14" xfId="0" applyFont="1" applyFill="1" applyBorder="1" applyAlignment="1">
      <alignment horizontal="center" vertical="center"/>
    </xf>
    <xf numFmtId="0" fontId="3" fillId="2" borderId="14" xfId="0" applyFont="1" applyFill="1" applyBorder="1" applyAlignment="1">
      <alignment horizontal="center" vertical="center" wrapText="1"/>
    </xf>
    <xf numFmtId="0" fontId="2" fillId="0" borderId="10" xfId="0" applyFont="1" applyBorder="1" applyAlignment="1">
      <alignment horizontal="center" vertical="center"/>
    </xf>
    <xf numFmtId="2" fontId="2" fillId="0" borderId="11" xfId="0" applyNumberFormat="1" applyFont="1" applyBorder="1" applyAlignment="1">
      <alignment horizontal="center" vertical="center"/>
    </xf>
    <xf numFmtId="0" fontId="0" fillId="0" borderId="16" xfId="0" applyBorder="1" applyAlignment="1">
      <alignment vertical="center" wrapText="1"/>
    </xf>
    <xf numFmtId="0" fontId="0" fillId="0" borderId="14" xfId="0" applyBorder="1" applyAlignment="1">
      <alignment horizontal="center" vertical="center"/>
    </xf>
    <xf numFmtId="2" fontId="0" fillId="0" borderId="14" xfId="0" applyNumberFormat="1" applyBorder="1" applyAlignment="1">
      <alignment horizontal="center" vertical="center"/>
    </xf>
    <xf numFmtId="0" fontId="0" fillId="0" borderId="12" xfId="0" applyBorder="1" applyAlignment="1">
      <alignment vertical="center" wrapText="1"/>
    </xf>
    <xf numFmtId="0" fontId="2" fillId="0" borderId="14" xfId="0" applyFont="1" applyBorder="1" applyAlignment="1">
      <alignment horizontal="center" vertical="center"/>
    </xf>
    <xf numFmtId="0" fontId="3" fillId="0" borderId="9" xfId="0" applyFont="1" applyBorder="1" applyAlignment="1">
      <alignment horizontal="left" wrapText="1"/>
    </xf>
    <xf numFmtId="0" fontId="0" fillId="0" borderId="17" xfId="0" applyBorder="1"/>
    <xf numFmtId="0" fontId="0" fillId="0" borderId="18" xfId="0" applyBorder="1"/>
    <xf numFmtId="0" fontId="0" fillId="0" borderId="19" xfId="0" applyBorder="1"/>
    <xf numFmtId="0" fontId="0" fillId="0" borderId="20" xfId="0" applyBorder="1"/>
    <xf numFmtId="0" fontId="0" fillId="0" borderId="21" xfId="0" applyBorder="1"/>
    <xf numFmtId="0" fontId="7" fillId="0" borderId="20" xfId="0" applyFont="1" applyBorder="1"/>
    <xf numFmtId="0" fontId="3" fillId="2" borderId="9" xfId="0" applyFont="1" applyFill="1" applyBorder="1" applyAlignment="1">
      <alignment horizontal="left" vertical="center" wrapText="1"/>
    </xf>
    <xf numFmtId="0" fontId="3" fillId="2" borderId="26" xfId="0" applyFont="1" applyFill="1" applyBorder="1" applyAlignment="1">
      <alignment horizontal="center" vertical="center" wrapText="1"/>
    </xf>
    <xf numFmtId="0" fontId="0" fillId="7" borderId="24" xfId="0" applyFill="1" applyBorder="1"/>
    <xf numFmtId="0" fontId="2" fillId="0" borderId="34" xfId="0" applyFont="1" applyBorder="1" applyAlignment="1">
      <alignment horizontal="center" vertical="center"/>
    </xf>
    <xf numFmtId="0" fontId="2" fillId="0" borderId="24" xfId="0" applyFont="1" applyBorder="1" applyAlignment="1">
      <alignment horizontal="center" vertical="center"/>
    </xf>
    <xf numFmtId="0" fontId="2" fillId="0" borderId="26" xfId="0" applyFont="1" applyBorder="1" applyAlignment="1">
      <alignment horizontal="center" vertical="center"/>
    </xf>
    <xf numFmtId="0" fontId="0" fillId="5" borderId="24" xfId="0" applyFill="1" applyBorder="1" applyAlignment="1">
      <alignment horizontal="center" vertical="center"/>
    </xf>
    <xf numFmtId="0" fontId="2" fillId="0" borderId="33" xfId="0" applyFont="1" applyBorder="1" applyAlignment="1">
      <alignment horizontal="center" vertical="center"/>
    </xf>
    <xf numFmtId="0" fontId="0" fillId="0" borderId="34" xfId="0" applyBorder="1" applyAlignment="1">
      <alignment horizontal="center" vertical="center"/>
    </xf>
    <xf numFmtId="0" fontId="0" fillId="0" borderId="24" xfId="0" applyBorder="1" applyAlignment="1">
      <alignment horizontal="center" vertical="center"/>
    </xf>
    <xf numFmtId="0" fontId="0" fillId="17" borderId="20" xfId="0" applyFill="1" applyBorder="1"/>
    <xf numFmtId="0" fontId="2" fillId="0" borderId="35" xfId="1" applyFont="1" applyFill="1" applyBorder="1" applyAlignment="1">
      <alignment horizontal="center" vertical="center"/>
    </xf>
    <xf numFmtId="0" fontId="0" fillId="0" borderId="28" xfId="0" applyBorder="1"/>
    <xf numFmtId="0" fontId="0" fillId="0" borderId="29" xfId="0" applyBorder="1"/>
    <xf numFmtId="0" fontId="3" fillId="2" borderId="24" xfId="0" applyFont="1" applyFill="1" applyBorder="1" applyAlignment="1">
      <alignment horizontal="center" vertical="center" wrapText="1"/>
    </xf>
    <xf numFmtId="0" fontId="3" fillId="0" borderId="24" xfId="0" applyFont="1" applyBorder="1" applyAlignment="1">
      <alignment horizontal="left"/>
    </xf>
    <xf numFmtId="0" fontId="3" fillId="2" borderId="24" xfId="0" applyFont="1" applyFill="1" applyBorder="1" applyAlignment="1">
      <alignment horizontal="left"/>
    </xf>
    <xf numFmtId="0" fontId="3" fillId="0" borderId="24" xfId="0" applyFont="1" applyBorder="1" applyAlignment="1">
      <alignment horizontal="left" wrapText="1"/>
    </xf>
    <xf numFmtId="0" fontId="7" fillId="2" borderId="31" xfId="0" applyFont="1" applyFill="1" applyBorder="1" applyAlignment="1">
      <alignment vertical="center" wrapText="1"/>
    </xf>
    <xf numFmtId="0" fontId="0" fillId="0" borderId="29" xfId="0" applyBorder="1" applyAlignment="1">
      <alignment vertical="center" wrapText="1"/>
    </xf>
    <xf numFmtId="2" fontId="0" fillId="0" borderId="20" xfId="0" applyNumberFormat="1" applyBorder="1"/>
    <xf numFmtId="0" fontId="0" fillId="0" borderId="18" xfId="0" applyBorder="1" applyAlignment="1">
      <alignment wrapText="1"/>
    </xf>
    <xf numFmtId="0" fontId="0" fillId="0" borderId="15" xfId="0" applyBorder="1"/>
    <xf numFmtId="0" fontId="0" fillId="0" borderId="2" xfId="0" applyBorder="1"/>
    <xf numFmtId="0" fontId="0" fillId="0" borderId="37" xfId="0" applyBorder="1"/>
    <xf numFmtId="0" fontId="2" fillId="0" borderId="38" xfId="1" applyFont="1" applyFill="1" applyBorder="1" applyAlignment="1">
      <alignment horizontal="center" vertical="center"/>
    </xf>
    <xf numFmtId="0" fontId="2" fillId="0" borderId="2" xfId="1" applyFont="1" applyFill="1" applyBorder="1" applyAlignment="1">
      <alignment horizontal="center" vertical="center"/>
    </xf>
    <xf numFmtId="0" fontId="0" fillId="0" borderId="37" xfId="0" applyBorder="1" applyAlignment="1">
      <alignment horizontal="center"/>
    </xf>
    <xf numFmtId="0" fontId="0" fillId="0" borderId="39" xfId="0" applyBorder="1"/>
    <xf numFmtId="0" fontId="7" fillId="2" borderId="40" xfId="0" applyFont="1" applyFill="1" applyBorder="1" applyAlignment="1">
      <alignment vertical="center"/>
    </xf>
    <xf numFmtId="0" fontId="7" fillId="2" borderId="10" xfId="0" applyFont="1" applyFill="1" applyBorder="1" applyAlignment="1">
      <alignment vertical="center" wrapText="1"/>
    </xf>
    <xf numFmtId="0" fontId="0" fillId="0" borderId="15" xfId="0" applyBorder="1" applyAlignment="1">
      <alignment horizontal="center" vertical="center"/>
    </xf>
    <xf numFmtId="2" fontId="2" fillId="0" borderId="10" xfId="0" applyNumberFormat="1" applyFont="1" applyBorder="1" applyAlignment="1">
      <alignment horizontal="center" vertical="center"/>
    </xf>
    <xf numFmtId="2" fontId="0" fillId="8" borderId="10" xfId="0" applyNumberFormat="1" applyFill="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left" vertical="center" wrapText="1"/>
    </xf>
    <xf numFmtId="0" fontId="3" fillId="2" borderId="9" xfId="0" applyFont="1" applyFill="1" applyBorder="1" applyAlignment="1">
      <alignment horizontal="left"/>
    </xf>
    <xf numFmtId="0" fontId="0" fillId="0" borderId="41" xfId="0" applyBorder="1"/>
    <xf numFmtId="2" fontId="2" fillId="0" borderId="9" xfId="2" applyNumberFormat="1" applyFont="1" applyFill="1" applyBorder="1" applyAlignment="1">
      <alignment horizontal="center" vertical="center"/>
    </xf>
    <xf numFmtId="0" fontId="0" fillId="0" borderId="7" xfId="0" applyBorder="1" applyAlignment="1">
      <alignment horizontal="center"/>
    </xf>
    <xf numFmtId="0" fontId="2" fillId="0" borderId="7" xfId="0" applyFont="1" applyBorder="1" applyAlignment="1">
      <alignment horizontal="center" vertical="center"/>
    </xf>
    <xf numFmtId="0" fontId="2" fillId="0" borderId="9" xfId="2" applyFont="1" applyFill="1" applyBorder="1" applyAlignment="1">
      <alignment horizontal="center" vertical="center" wrapText="1"/>
    </xf>
    <xf numFmtId="0" fontId="7" fillId="2" borderId="9" xfId="0" applyFont="1" applyFill="1" applyBorder="1" applyAlignment="1">
      <alignment horizontal="center" vertical="center" wrapText="1"/>
    </xf>
    <xf numFmtId="0" fontId="3" fillId="2" borderId="9" xfId="0" applyFont="1" applyFill="1" applyBorder="1" applyAlignment="1">
      <alignment vertical="center" wrapText="1"/>
    </xf>
    <xf numFmtId="0" fontId="4" fillId="0" borderId="9" xfId="0" applyFont="1" applyBorder="1" applyAlignment="1">
      <alignment horizontal="left" vertical="center" wrapText="1"/>
    </xf>
    <xf numFmtId="0" fontId="4" fillId="0" borderId="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9" xfId="0" applyFont="1" applyBorder="1" applyAlignment="1">
      <alignment horizontal="center"/>
    </xf>
    <xf numFmtId="0" fontId="4" fillId="0" borderId="9" xfId="0" applyFont="1" applyBorder="1" applyAlignment="1">
      <alignment horizontal="center" vertical="center"/>
    </xf>
    <xf numFmtId="0" fontId="3" fillId="0" borderId="9" xfId="0" applyFont="1" applyBorder="1" applyAlignment="1">
      <alignment horizontal="left" vertical="top" wrapText="1"/>
    </xf>
    <xf numFmtId="0" fontId="4" fillId="0" borderId="7" xfId="0" applyFont="1" applyBorder="1" applyAlignment="1">
      <alignment horizontal="left" vertical="center" wrapText="1"/>
    </xf>
    <xf numFmtId="0" fontId="7" fillId="10" borderId="9" xfId="0" applyFont="1" applyFill="1" applyBorder="1"/>
    <xf numFmtId="14" fontId="4" fillId="0" borderId="9" xfId="0" applyNumberFormat="1" applyFont="1" applyBorder="1" applyAlignment="1">
      <alignment horizontal="left" vertical="center" wrapText="1"/>
    </xf>
    <xf numFmtId="0" fontId="15" fillId="0" borderId="9" xfId="0" applyFont="1" applyBorder="1" applyAlignment="1">
      <alignment horizontal="center" vertical="center" wrapText="1"/>
    </xf>
    <xf numFmtId="0" fontId="15" fillId="0" borderId="9" xfId="0" applyFont="1" applyBorder="1" applyAlignment="1">
      <alignment horizontal="left" vertical="center" wrapText="1"/>
    </xf>
    <xf numFmtId="0" fontId="17" fillId="0" borderId="43" xfId="0" applyFont="1" applyBorder="1" applyAlignment="1">
      <alignment horizontal="justify" vertical="center" wrapText="1"/>
    </xf>
    <xf numFmtId="0" fontId="17" fillId="0" borderId="44" xfId="0" applyFont="1" applyBorder="1" applyAlignment="1">
      <alignment horizontal="justify" vertical="center" wrapText="1"/>
    </xf>
    <xf numFmtId="0" fontId="17" fillId="0" borderId="44" xfId="0" applyFont="1" applyBorder="1" applyAlignment="1">
      <alignment horizontal="center" vertical="center" wrapText="1"/>
    </xf>
    <xf numFmtId="0" fontId="0" fillId="0" borderId="44" xfId="0" applyBorder="1" applyAlignment="1">
      <alignment vertical="top" wrapText="1"/>
    </xf>
    <xf numFmtId="0" fontId="0" fillId="0" borderId="45" xfId="0" applyBorder="1" applyAlignment="1">
      <alignment vertical="top" wrapText="1"/>
    </xf>
    <xf numFmtId="0" fontId="16" fillId="0" borderId="42" xfId="0" applyFont="1" applyBorder="1" applyAlignment="1">
      <alignment horizontal="justify" vertical="center" wrapText="1"/>
    </xf>
    <xf numFmtId="0" fontId="16" fillId="0" borderId="46" xfId="0" applyFont="1" applyBorder="1" applyAlignment="1">
      <alignment horizontal="center" vertical="center" wrapText="1"/>
    </xf>
    <xf numFmtId="0" fontId="16" fillId="0" borderId="45" xfId="0" applyFont="1" applyBorder="1" applyAlignment="1">
      <alignment horizontal="justify" vertical="center" wrapText="1"/>
    </xf>
    <xf numFmtId="0" fontId="16" fillId="0" borderId="47" xfId="0" applyFont="1" applyBorder="1" applyAlignment="1">
      <alignment horizontal="justify" vertical="center" wrapText="1"/>
    </xf>
    <xf numFmtId="0" fontId="17" fillId="0" borderId="45" xfId="0" applyFont="1" applyBorder="1" applyAlignment="1">
      <alignment horizontal="right" vertical="center" wrapText="1"/>
    </xf>
    <xf numFmtId="0" fontId="17" fillId="0" borderId="47" xfId="0" applyFont="1" applyBorder="1" applyAlignment="1">
      <alignment horizontal="justify" vertical="center" wrapText="1"/>
    </xf>
    <xf numFmtId="0" fontId="17" fillId="0" borderId="45" xfId="0" applyFont="1" applyBorder="1" applyAlignment="1">
      <alignment horizontal="justify" vertical="center" wrapText="1"/>
    </xf>
    <xf numFmtId="0" fontId="17" fillId="0" borderId="45" xfId="0" applyFont="1" applyBorder="1" applyAlignment="1">
      <alignment horizontal="center" vertical="center" wrapText="1"/>
    </xf>
    <xf numFmtId="0" fontId="0" fillId="0" borderId="14" xfId="0" applyBorder="1" applyAlignment="1">
      <alignment horizontal="center" vertical="center" wrapText="1"/>
    </xf>
    <xf numFmtId="2" fontId="0" fillId="0" borderId="9" xfId="0" applyNumberFormat="1" applyBorder="1" applyAlignment="1">
      <alignment horizontal="center"/>
    </xf>
    <xf numFmtId="2" fontId="16" fillId="0" borderId="47" xfId="0" applyNumberFormat="1" applyFont="1" applyBorder="1" applyAlignment="1">
      <alignment horizontal="justify" vertical="center" wrapText="1"/>
    </xf>
    <xf numFmtId="0" fontId="0" fillId="0" borderId="11" xfId="0" applyBorder="1" applyAlignment="1">
      <alignment horizontal="center" vertical="center"/>
    </xf>
    <xf numFmtId="0" fontId="2" fillId="24" borderId="9" xfId="0" applyFont="1" applyFill="1" applyBorder="1" applyAlignment="1">
      <alignment horizontal="center" vertical="center"/>
    </xf>
    <xf numFmtId="0" fontId="2" fillId="0" borderId="9" xfId="0" applyFont="1" applyBorder="1"/>
    <xf numFmtId="2" fontId="0" fillId="0" borderId="9" xfId="0" applyNumberFormat="1" applyBorder="1" applyAlignment="1">
      <alignment horizontal="right"/>
    </xf>
    <xf numFmtId="0" fontId="0" fillId="0" borderId="9" xfId="0" applyBorder="1" applyAlignment="1">
      <alignment horizontal="right"/>
    </xf>
    <xf numFmtId="0" fontId="0" fillId="0" borderId="9" xfId="0" applyBorder="1" applyAlignment="1">
      <alignment horizontal="right" vertical="top"/>
    </xf>
    <xf numFmtId="0" fontId="0" fillId="0" borderId="9" xfId="0" applyBorder="1" applyAlignment="1">
      <alignment horizontal="left" vertical="top"/>
    </xf>
    <xf numFmtId="0" fontId="3" fillId="0" borderId="9" xfId="0" applyFont="1" applyBorder="1" applyAlignment="1">
      <alignment vertical="center" wrapText="1"/>
    </xf>
    <xf numFmtId="0" fontId="3" fillId="0" borderId="9" xfId="0" applyFont="1" applyBorder="1" applyAlignment="1">
      <alignment horizontal="center" vertical="center" wrapText="1"/>
    </xf>
    <xf numFmtId="0" fontId="7" fillId="10" borderId="0" xfId="0" applyFont="1" applyFill="1" applyAlignment="1">
      <alignment horizontal="center" vertical="center"/>
    </xf>
    <xf numFmtId="2" fontId="13" fillId="10" borderId="0" xfId="0" applyNumberFormat="1" applyFont="1" applyFill="1" applyAlignment="1">
      <alignment horizontal="center" vertical="center" wrapText="1"/>
    </xf>
    <xf numFmtId="0" fontId="7" fillId="25" borderId="9" xfId="0" applyFont="1" applyFill="1" applyBorder="1" applyAlignment="1">
      <alignment horizontal="right"/>
    </xf>
    <xf numFmtId="0" fontId="7" fillId="25" borderId="9" xfId="0" applyFont="1" applyFill="1" applyBorder="1"/>
    <xf numFmtId="0" fontId="0" fillId="26" borderId="0" xfId="0" applyFill="1"/>
    <xf numFmtId="0" fontId="15" fillId="0" borderId="9" xfId="0" applyFont="1" applyBorder="1" applyAlignment="1">
      <alignment horizontal="center"/>
    </xf>
    <xf numFmtId="0" fontId="3" fillId="10" borderId="0" xfId="0" applyFont="1" applyFill="1" applyAlignment="1">
      <alignment horizontal="center" vertical="center"/>
    </xf>
    <xf numFmtId="2" fontId="18" fillId="10" borderId="0" xfId="0" applyNumberFormat="1" applyFont="1" applyFill="1" applyAlignment="1">
      <alignment horizontal="center" vertical="center" wrapText="1"/>
    </xf>
    <xf numFmtId="0" fontId="0" fillId="0" borderId="14" xfId="0" applyBorder="1"/>
    <xf numFmtId="0" fontId="5" fillId="0" borderId="0" xfId="0" applyFont="1"/>
    <xf numFmtId="0" fontId="2" fillId="0" borderId="0" xfId="0" applyFont="1"/>
    <xf numFmtId="0" fontId="3" fillId="0" borderId="11" xfId="0" applyFont="1" applyBorder="1" applyAlignment="1">
      <alignment vertical="center" wrapText="1"/>
    </xf>
    <xf numFmtId="2" fontId="0" fillId="0" borderId="0" xfId="0" applyNumberFormat="1" applyAlignment="1">
      <alignment horizontal="right"/>
    </xf>
    <xf numFmtId="0" fontId="7" fillId="0" borderId="0" xfId="0" applyFont="1" applyAlignment="1">
      <alignment horizontal="right"/>
    </xf>
    <xf numFmtId="0" fontId="3" fillId="0" borderId="0" xfId="0" applyFont="1" applyAlignment="1">
      <alignment horizontal="center" vertical="center"/>
    </xf>
    <xf numFmtId="2" fontId="18" fillId="0" borderId="0" xfId="0" applyNumberFormat="1" applyFont="1" applyAlignment="1">
      <alignment horizontal="center" vertical="center" wrapText="1"/>
    </xf>
    <xf numFmtId="0" fontId="7" fillId="0" borderId="0" xfId="0" applyFont="1"/>
    <xf numFmtId="0" fontId="7" fillId="0" borderId="10" xfId="0" applyFont="1" applyBorder="1" applyAlignment="1">
      <alignment horizontal="center" vertical="center"/>
    </xf>
    <xf numFmtId="0" fontId="7" fillId="25" borderId="10" xfId="0" applyFont="1" applyFill="1" applyBorder="1" applyAlignment="1">
      <alignment horizontal="right"/>
    </xf>
    <xf numFmtId="0" fontId="7" fillId="25" borderId="10" xfId="0" applyFont="1" applyFill="1" applyBorder="1"/>
    <xf numFmtId="0" fontId="2" fillId="2" borderId="9" xfId="0" applyFont="1" applyFill="1" applyBorder="1" applyAlignment="1">
      <alignment horizontal="center" vertical="center"/>
    </xf>
    <xf numFmtId="0" fontId="13" fillId="25" borderId="9" xfId="0" applyFont="1" applyFill="1" applyBorder="1"/>
    <xf numFmtId="0" fontId="13" fillId="25" borderId="10" xfId="0" applyFont="1" applyFill="1" applyBorder="1" applyAlignment="1">
      <alignment horizontal="right"/>
    </xf>
    <xf numFmtId="0" fontId="7" fillId="0" borderId="9" xfId="0" applyFont="1" applyBorder="1" applyAlignment="1">
      <alignment horizontal="center" vertical="center" wrapText="1"/>
    </xf>
    <xf numFmtId="2" fontId="7" fillId="25" borderId="10" xfId="0" applyNumberFormat="1" applyFont="1" applyFill="1" applyBorder="1" applyAlignment="1">
      <alignment horizontal="right"/>
    </xf>
    <xf numFmtId="0" fontId="2" fillId="27" borderId="9" xfId="0" applyFont="1" applyFill="1" applyBorder="1" applyAlignment="1">
      <alignment horizontal="center" vertical="center"/>
    </xf>
    <xf numFmtId="0" fontId="0" fillId="0" borderId="0" xfId="0" applyAlignment="1">
      <alignment horizontal="left" vertical="center"/>
    </xf>
    <xf numFmtId="0" fontId="0" fillId="0" borderId="9" xfId="0" applyBorder="1" applyAlignment="1">
      <alignment vertical="top" wrapText="1"/>
    </xf>
    <xf numFmtId="0" fontId="7" fillId="0" borderId="11" xfId="0" applyFont="1" applyBorder="1" applyAlignment="1">
      <alignment horizontal="left" vertical="center" wrapText="1"/>
    </xf>
    <xf numFmtId="0" fontId="7" fillId="0" borderId="9" xfId="0" applyFont="1" applyBorder="1" applyAlignment="1">
      <alignment horizontal="left" vertical="center" wrapText="1"/>
    </xf>
    <xf numFmtId="0" fontId="0" fillId="0" borderId="3" xfId="0" applyBorder="1" applyAlignment="1">
      <alignment horizontal="center" vertical="center"/>
    </xf>
    <xf numFmtId="2" fontId="7" fillId="25" borderId="9" xfId="0" applyNumberFormat="1" applyFont="1" applyFill="1" applyBorder="1" applyAlignment="1">
      <alignment horizontal="right"/>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2" fontId="13" fillId="0" borderId="0" xfId="0" applyNumberFormat="1" applyFont="1" applyAlignment="1">
      <alignment horizontal="center" vertical="center" wrapText="1"/>
    </xf>
    <xf numFmtId="0" fontId="7" fillId="0" borderId="0" xfId="0" applyFont="1" applyAlignment="1">
      <alignment vertical="center"/>
    </xf>
    <xf numFmtId="0" fontId="7" fillId="0" borderId="0" xfId="0" applyFont="1" applyAlignment="1">
      <alignment horizontal="left" vertical="center" wrapText="1"/>
    </xf>
    <xf numFmtId="0" fontId="0" fillId="0" borderId="0" xfId="0" applyAlignment="1">
      <alignment horizontal="left"/>
    </xf>
    <xf numFmtId="0" fontId="7" fillId="0" borderId="0" xfId="0" applyFont="1" applyAlignment="1">
      <alignment horizontal="center" vertical="center" wrapText="1"/>
    </xf>
    <xf numFmtId="0" fontId="0" fillId="0" borderId="0" xfId="0" applyAlignment="1">
      <alignment vertical="center" wrapText="1"/>
    </xf>
    <xf numFmtId="0" fontId="0" fillId="0" borderId="0" xfId="0" applyAlignment="1">
      <alignment horizontal="left" vertical="top"/>
    </xf>
    <xf numFmtId="0" fontId="0" fillId="0" borderId="0" xfId="0" applyAlignment="1">
      <alignment horizontal="left" vertical="top" wrapText="1"/>
    </xf>
    <xf numFmtId="2" fontId="0" fillId="0" borderId="7" xfId="0" applyNumberFormat="1" applyBorder="1" applyAlignment="1">
      <alignment vertical="center" wrapText="1"/>
    </xf>
    <xf numFmtId="0" fontId="7" fillId="0" borderId="9" xfId="0" applyFont="1" applyBorder="1" applyAlignment="1">
      <alignment vertical="center"/>
    </xf>
    <xf numFmtId="0" fontId="4" fillId="0" borderId="0" xfId="0" applyFont="1" applyAlignment="1">
      <alignment horizontal="left" vertical="center"/>
    </xf>
    <xf numFmtId="0" fontId="13" fillId="0" borderId="0" xfId="0" applyFont="1" applyAlignment="1">
      <alignment horizontal="center" vertical="center"/>
    </xf>
    <xf numFmtId="0" fontId="18" fillId="0" borderId="9" xfId="0" applyFont="1" applyBorder="1" applyAlignment="1">
      <alignment horizontal="center" vertical="center" wrapText="1"/>
    </xf>
    <xf numFmtId="0" fontId="0" fillId="0" borderId="9" xfId="0" applyBorder="1" applyAlignment="1">
      <alignment horizontal="left" vertical="top" wrapText="1"/>
    </xf>
    <xf numFmtId="0" fontId="0" fillId="0" borderId="3"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center" vertical="center" wrapText="1"/>
    </xf>
    <xf numFmtId="0" fontId="0" fillId="0" borderId="11" xfId="0" applyBorder="1" applyAlignment="1">
      <alignment horizontal="left" vertical="center"/>
    </xf>
    <xf numFmtId="0" fontId="7" fillId="0" borderId="9" xfId="0" applyFont="1" applyBorder="1" applyAlignment="1">
      <alignment vertical="center" wrapText="1"/>
    </xf>
    <xf numFmtId="0" fontId="2" fillId="0" borderId="11" xfId="0" applyFont="1" applyBorder="1" applyAlignment="1">
      <alignment horizontal="center" vertical="center"/>
    </xf>
    <xf numFmtId="0" fontId="5" fillId="0" borderId="9" xfId="0" applyFont="1" applyBorder="1" applyAlignment="1">
      <alignment horizontal="left" vertical="center"/>
    </xf>
    <xf numFmtId="0" fontId="2" fillId="0" borderId="9" xfId="0" applyFont="1" applyBorder="1" applyAlignment="1">
      <alignment horizontal="left" vertical="center"/>
    </xf>
    <xf numFmtId="0" fontId="0" fillId="0" borderId="11" xfId="0" applyBorder="1" applyAlignment="1">
      <alignment horizontal="left" vertical="center" wrapText="1"/>
    </xf>
    <xf numFmtId="0" fontId="0" fillId="0" borderId="14" xfId="0" applyBorder="1" applyAlignment="1">
      <alignment horizontal="left" vertical="center" wrapText="1"/>
    </xf>
    <xf numFmtId="0" fontId="0" fillId="0" borderId="8" xfId="0" applyBorder="1" applyAlignment="1">
      <alignment horizontal="center"/>
    </xf>
    <xf numFmtId="0" fontId="5" fillId="0" borderId="9" xfId="0" applyFont="1" applyBorder="1" applyAlignment="1">
      <alignment vertical="center"/>
    </xf>
    <xf numFmtId="0" fontId="8" fillId="0" borderId="14" xfId="0" applyFont="1" applyBorder="1" applyAlignment="1">
      <alignment horizontal="center" vertical="center" wrapText="1"/>
    </xf>
    <xf numFmtId="0" fontId="5" fillId="3" borderId="9" xfId="0" applyFont="1" applyFill="1" applyBorder="1" applyAlignment="1">
      <alignment horizontal="center" vertical="center" wrapText="1"/>
    </xf>
    <xf numFmtId="2" fontId="5" fillId="0" borderId="9" xfId="0" applyNumberFormat="1" applyFont="1" applyBorder="1" applyAlignment="1">
      <alignment horizontal="center" vertical="center"/>
    </xf>
    <xf numFmtId="0" fontId="0" fillId="8" borderId="3" xfId="0" applyFill="1" applyBorder="1" applyAlignment="1">
      <alignment horizontal="center" vertical="center"/>
    </xf>
    <xf numFmtId="0" fontId="2" fillId="9" borderId="0" xfId="0" applyFont="1" applyFill="1" applyAlignment="1">
      <alignment horizontal="center" vertical="center" wrapText="1"/>
    </xf>
    <xf numFmtId="0" fontId="0" fillId="0" borderId="11" xfId="0" applyBorder="1" applyAlignment="1">
      <alignment vertical="center"/>
    </xf>
    <xf numFmtId="0" fontId="0" fillId="0" borderId="14" xfId="0" applyBorder="1" applyAlignment="1">
      <alignment vertical="center"/>
    </xf>
    <xf numFmtId="0" fontId="0" fillId="0" borderId="3" xfId="0" applyBorder="1" applyAlignment="1">
      <alignment vertical="center"/>
    </xf>
    <xf numFmtId="0" fontId="0" fillId="0" borderId="7" xfId="0" applyBorder="1" applyAlignment="1">
      <alignment vertical="center"/>
    </xf>
    <xf numFmtId="0" fontId="0" fillId="8" borderId="11" xfId="0" applyFill="1" applyBorder="1" applyAlignment="1">
      <alignment vertical="center"/>
    </xf>
    <xf numFmtId="0" fontId="0" fillId="8" borderId="3" xfId="0" applyFill="1" applyBorder="1" applyAlignment="1">
      <alignment vertical="center"/>
    </xf>
    <xf numFmtId="0" fontId="0" fillId="8" borderId="14" xfId="0" applyFill="1" applyBorder="1" applyAlignment="1">
      <alignment vertical="center"/>
    </xf>
    <xf numFmtId="2" fontId="0" fillId="0" borderId="9" xfId="0" applyNumberFormat="1" applyBorder="1" applyAlignment="1">
      <alignment vertical="center"/>
    </xf>
    <xf numFmtId="2" fontId="0" fillId="0" borderId="11" xfId="0" applyNumberFormat="1" applyBorder="1" applyAlignment="1">
      <alignment vertical="center"/>
    </xf>
    <xf numFmtId="2" fontId="0" fillId="0" borderId="3" xfId="0" applyNumberFormat="1" applyBorder="1" applyAlignment="1">
      <alignment vertical="center"/>
    </xf>
    <xf numFmtId="2" fontId="0" fillId="0" borderId="14" xfId="0" applyNumberFormat="1" applyBorder="1" applyAlignment="1">
      <alignment vertical="center"/>
    </xf>
    <xf numFmtId="0" fontId="2" fillId="0" borderId="9" xfId="2" applyFont="1" applyFill="1" applyBorder="1" applyAlignment="1">
      <alignment horizontal="right"/>
    </xf>
    <xf numFmtId="0" fontId="13" fillId="2" borderId="12" xfId="0" applyFont="1" applyFill="1" applyBorder="1" applyAlignment="1">
      <alignment vertical="center"/>
    </xf>
    <xf numFmtId="0" fontId="2" fillId="2" borderId="7" xfId="0" applyFont="1" applyFill="1" applyBorder="1" applyAlignment="1">
      <alignment horizontal="center" vertical="center" wrapText="1"/>
    </xf>
    <xf numFmtId="0" fontId="2" fillId="0" borderId="9" xfId="1" applyFont="1" applyFill="1" applyBorder="1" applyAlignment="1">
      <alignment vertical="center"/>
    </xf>
    <xf numFmtId="0" fontId="2" fillId="0" borderId="9" xfId="0" applyFont="1" applyBorder="1" applyAlignment="1">
      <alignment vertical="center" wrapText="1"/>
    </xf>
    <xf numFmtId="0" fontId="2" fillId="0" borderId="9" xfId="0" applyFont="1" applyBorder="1" applyAlignment="1">
      <alignment vertical="center"/>
    </xf>
    <xf numFmtId="0" fontId="2" fillId="3" borderId="10" xfId="0" applyFont="1" applyFill="1" applyBorder="1" applyAlignment="1">
      <alignment vertical="center"/>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12" xfId="0" applyFill="1" applyBorder="1" applyAlignment="1">
      <alignment horizontal="center" vertical="center" wrapText="1"/>
    </xf>
    <xf numFmtId="0" fontId="2" fillId="3" borderId="9" xfId="0" applyFont="1" applyFill="1" applyBorder="1" applyAlignment="1">
      <alignment horizontal="center" vertical="center"/>
    </xf>
    <xf numFmtId="0" fontId="0" fillId="3" borderId="16" xfId="0" applyFill="1" applyBorder="1" applyAlignment="1">
      <alignment horizontal="center" vertical="center" wrapText="1"/>
    </xf>
    <xf numFmtId="0" fontId="7" fillId="2" borderId="40" xfId="0" applyFont="1" applyFill="1" applyBorder="1" applyAlignment="1">
      <alignment vertical="center" wrapText="1"/>
    </xf>
    <xf numFmtId="0" fontId="7" fillId="9" borderId="9" xfId="0" applyFont="1" applyFill="1" applyBorder="1"/>
    <xf numFmtId="0" fontId="0" fillId="0" borderId="9" xfId="0" applyBorder="1" applyAlignment="1">
      <alignment horizontal="centerContinuous" vertical="top" wrapText="1"/>
    </xf>
    <xf numFmtId="0" fontId="2" fillId="6" borderId="24" xfId="0" applyFont="1" applyFill="1" applyBorder="1" applyAlignment="1">
      <alignment horizontal="center" vertical="center"/>
    </xf>
    <xf numFmtId="0" fontId="0" fillId="6" borderId="9" xfId="0" applyFill="1" applyBorder="1" applyAlignment="1">
      <alignment horizontal="center"/>
    </xf>
    <xf numFmtId="0" fontId="2" fillId="0" borderId="9" xfId="2" applyNumberFormat="1" applyFont="1" applyFill="1" applyBorder="1" applyAlignment="1">
      <alignment horizontal="center"/>
    </xf>
    <xf numFmtId="0" fontId="2" fillId="0" borderId="9" xfId="1" applyNumberFormat="1" applyFont="1" applyFill="1" applyBorder="1" applyAlignment="1">
      <alignment horizontal="center" vertical="center"/>
    </xf>
    <xf numFmtId="0" fontId="2" fillId="12" borderId="10" xfId="0" applyFont="1" applyFill="1" applyBorder="1" applyAlignment="1">
      <alignment horizontal="center" vertical="center"/>
    </xf>
    <xf numFmtId="0" fontId="2" fillId="12" borderId="24" xfId="0" applyFont="1" applyFill="1" applyBorder="1" applyAlignment="1">
      <alignment horizontal="center" vertical="center"/>
    </xf>
    <xf numFmtId="0" fontId="2" fillId="12" borderId="14" xfId="0" applyFont="1" applyFill="1" applyBorder="1" applyAlignment="1">
      <alignment horizontal="center" vertical="center"/>
    </xf>
    <xf numFmtId="0" fontId="2" fillId="12" borderId="9" xfId="0" applyFont="1" applyFill="1" applyBorder="1" applyAlignment="1">
      <alignment horizontal="center" vertical="center"/>
    </xf>
    <xf numFmtId="0" fontId="0" fillId="12" borderId="9" xfId="0" applyFill="1" applyBorder="1" applyAlignment="1">
      <alignment horizontal="center"/>
    </xf>
    <xf numFmtId="0" fontId="0" fillId="3" borderId="7" xfId="0" applyFill="1" applyBorder="1" applyAlignment="1">
      <alignment vertical="center" wrapText="1"/>
    </xf>
    <xf numFmtId="0" fontId="0" fillId="3" borderId="9" xfId="0" applyFill="1" applyBorder="1" applyAlignment="1">
      <alignment vertical="center" wrapText="1"/>
    </xf>
    <xf numFmtId="0" fontId="0" fillId="3" borderId="9" xfId="0" applyFill="1" applyBorder="1" applyAlignment="1">
      <alignment vertical="center"/>
    </xf>
    <xf numFmtId="0" fontId="7" fillId="0" borderId="11" xfId="0" applyFont="1" applyBorder="1" applyAlignment="1">
      <alignment vertical="center" wrapText="1"/>
    </xf>
    <xf numFmtId="0" fontId="0" fillId="0" borderId="0" xfId="0" quotePrefix="1"/>
    <xf numFmtId="0" fontId="5" fillId="0" borderId="10" xfId="0" applyFont="1" applyBorder="1" applyAlignment="1">
      <alignment horizontal="center" vertical="center"/>
    </xf>
    <xf numFmtId="0" fontId="2" fillId="3" borderId="9" xfId="0" applyFont="1" applyFill="1" applyBorder="1" applyAlignment="1">
      <alignment vertical="center"/>
    </xf>
    <xf numFmtId="0" fontId="0" fillId="3" borderId="11" xfId="0" applyFill="1" applyBorder="1" applyAlignment="1">
      <alignment vertical="center" wrapText="1"/>
    </xf>
    <xf numFmtId="0" fontId="3" fillId="2" borderId="7" xfId="0" applyFont="1" applyFill="1" applyBorder="1" applyAlignment="1">
      <alignment horizontal="center" vertical="center" wrapText="1"/>
    </xf>
    <xf numFmtId="2" fontId="0" fillId="0" borderId="11" xfId="0" applyNumberFormat="1" applyBorder="1" applyAlignment="1">
      <alignment horizontal="center" vertical="center"/>
    </xf>
    <xf numFmtId="2" fontId="0" fillId="22" borderId="9" xfId="0" applyNumberFormat="1" applyFill="1" applyBorder="1" applyAlignment="1">
      <alignment horizontal="center" vertical="center"/>
    </xf>
    <xf numFmtId="0" fontId="0" fillId="3" borderId="7" xfId="0" applyFill="1" applyBorder="1" applyAlignment="1">
      <alignment vertical="center"/>
    </xf>
    <xf numFmtId="0" fontId="0" fillId="3" borderId="0" xfId="0" applyFill="1" applyAlignment="1">
      <alignment horizontal="center"/>
    </xf>
    <xf numFmtId="0" fontId="0" fillId="3" borderId="9" xfId="0" applyFill="1" applyBorder="1"/>
    <xf numFmtId="0" fontId="0" fillId="3" borderId="9" xfId="0" applyFill="1" applyBorder="1" applyAlignment="1">
      <alignment horizontal="center"/>
    </xf>
    <xf numFmtId="2" fontId="2" fillId="11" borderId="7" xfId="0" applyNumberFormat="1" applyFont="1" applyFill="1" applyBorder="1" applyAlignment="1">
      <alignment horizontal="center" vertical="center"/>
    </xf>
    <xf numFmtId="2" fontId="0" fillId="0" borderId="7" xfId="0" applyNumberFormat="1" applyBorder="1"/>
    <xf numFmtId="2" fontId="0" fillId="29" borderId="9" xfId="0" applyNumberFormat="1" applyFill="1" applyBorder="1" applyAlignment="1">
      <alignment horizontal="center"/>
    </xf>
    <xf numFmtId="0" fontId="3" fillId="2" borderId="12" xfId="0" applyFont="1" applyFill="1" applyBorder="1" applyAlignment="1">
      <alignment horizontal="centerContinuous" vertical="center" wrapText="1"/>
    </xf>
    <xf numFmtId="0" fontId="3" fillId="2" borderId="41" xfId="0" applyFont="1" applyFill="1" applyBorder="1" applyAlignment="1">
      <alignment horizontal="centerContinuous" vertical="center" wrapText="1"/>
    </xf>
    <xf numFmtId="0" fontId="3" fillId="2" borderId="51" xfId="0" applyFont="1" applyFill="1" applyBorder="1" applyAlignment="1">
      <alignment horizontal="centerContinuous" vertical="center" wrapText="1"/>
    </xf>
    <xf numFmtId="0" fontId="3" fillId="2" borderId="50" xfId="0" applyFont="1" applyFill="1" applyBorder="1" applyAlignment="1">
      <alignment horizontal="centerContinuous" vertical="center" wrapText="1"/>
    </xf>
    <xf numFmtId="0" fontId="7" fillId="19" borderId="9" xfId="0" applyFont="1" applyFill="1" applyBorder="1" applyAlignment="1">
      <alignment horizontal="left" vertical="center"/>
    </xf>
    <xf numFmtId="0" fontId="0" fillId="19" borderId="9" xfId="0" applyFill="1" applyBorder="1" applyAlignment="1">
      <alignment horizontal="center" vertical="center"/>
    </xf>
    <xf numFmtId="0" fontId="0" fillId="19" borderId="9" xfId="0" applyFill="1" applyBorder="1"/>
    <xf numFmtId="0" fontId="7" fillId="2" borderId="0" xfId="0" applyFont="1" applyFill="1" applyAlignment="1">
      <alignment horizontal="left" vertical="center" wrapText="1"/>
    </xf>
    <xf numFmtId="0" fontId="0" fillId="0" borderId="10" xfId="0" applyBorder="1" applyAlignment="1">
      <alignment horizontal="left" vertical="center"/>
    </xf>
    <xf numFmtId="0" fontId="0" fillId="0" borderId="9" xfId="0" applyBorder="1" applyAlignment="1">
      <alignment horizontal="left" vertical="center" wrapText="1"/>
    </xf>
    <xf numFmtId="2" fontId="0" fillId="0" borderId="0" xfId="0" applyNumberFormat="1" applyAlignment="1">
      <alignment horizontal="left"/>
    </xf>
    <xf numFmtId="2" fontId="0" fillId="0" borderId="9" xfId="0" applyNumberFormat="1" applyBorder="1" applyAlignment="1">
      <alignment horizontal="left"/>
    </xf>
    <xf numFmtId="0" fontId="7" fillId="2" borderId="31" xfId="0" applyFont="1" applyFill="1" applyBorder="1" applyAlignment="1">
      <alignment horizontal="left" vertical="center"/>
    </xf>
    <xf numFmtId="0" fontId="0" fillId="2" borderId="9" xfId="0" applyFill="1" applyBorder="1" applyAlignment="1">
      <alignment horizontal="left" vertical="center" wrapText="1"/>
    </xf>
    <xf numFmtId="0" fontId="0" fillId="28" borderId="9" xfId="0" applyFill="1" applyBorder="1" applyAlignment="1">
      <alignment horizontal="left" vertical="center"/>
    </xf>
    <xf numFmtId="0" fontId="0" fillId="28" borderId="9" xfId="0" applyFill="1" applyBorder="1" applyAlignment="1">
      <alignment horizontal="left" vertical="center" wrapText="1"/>
    </xf>
    <xf numFmtId="0" fontId="0" fillId="28" borderId="11" xfId="0" applyFill="1" applyBorder="1" applyAlignment="1">
      <alignment horizontal="left" vertical="center" wrapText="1"/>
    </xf>
    <xf numFmtId="0" fontId="0" fillId="28" borderId="11" xfId="0" applyFill="1" applyBorder="1" applyAlignment="1">
      <alignment horizontal="left" vertical="center"/>
    </xf>
    <xf numFmtId="0" fontId="0" fillId="3" borderId="11" xfId="0" applyFill="1" applyBorder="1" applyAlignment="1">
      <alignment horizontal="left" vertical="center"/>
    </xf>
    <xf numFmtId="0" fontId="7" fillId="2" borderId="32" xfId="0" applyFont="1" applyFill="1" applyBorder="1" applyAlignment="1">
      <alignment horizontal="left" vertical="center" wrapText="1"/>
    </xf>
    <xf numFmtId="0" fontId="0" fillId="3" borderId="9" xfId="0" applyFill="1" applyBorder="1" applyAlignment="1">
      <alignment horizontal="left" vertical="center" wrapText="1"/>
    </xf>
    <xf numFmtId="0" fontId="2" fillId="19" borderId="9" xfId="0" applyFont="1" applyFill="1" applyBorder="1" applyAlignment="1">
      <alignment horizontal="left" vertical="center"/>
    </xf>
    <xf numFmtId="0" fontId="0" fillId="19" borderId="9" xfId="0" applyFill="1" applyBorder="1" applyAlignment="1">
      <alignment horizontal="left"/>
    </xf>
    <xf numFmtId="0" fontId="3" fillId="6" borderId="9" xfId="0" applyFont="1" applyFill="1" applyBorder="1" applyAlignment="1">
      <alignment horizontal="center" vertical="center"/>
    </xf>
    <xf numFmtId="0" fontId="3" fillId="6" borderId="9"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24" xfId="0" applyFont="1" applyFill="1" applyBorder="1" applyAlignment="1">
      <alignment horizontal="left"/>
    </xf>
    <xf numFmtId="2" fontId="0" fillId="10" borderId="9" xfId="0" applyNumberFormat="1" applyFill="1" applyBorder="1" applyAlignment="1">
      <alignment horizontal="center" vertical="center"/>
    </xf>
    <xf numFmtId="0" fontId="3" fillId="2" borderId="14" xfId="0" applyFont="1" applyFill="1" applyBorder="1" applyAlignment="1">
      <alignment horizontal="centerContinuous" vertical="center" wrapText="1"/>
    </xf>
    <xf numFmtId="0" fontId="3" fillId="2" borderId="52" xfId="0" applyFont="1" applyFill="1" applyBorder="1" applyAlignment="1">
      <alignment horizontal="centerContinuous" vertical="center" wrapText="1"/>
    </xf>
    <xf numFmtId="0" fontId="3" fillId="6" borderId="9" xfId="0" applyFont="1" applyFill="1" applyBorder="1" applyAlignment="1">
      <alignment horizontal="left" vertical="center" wrapText="1"/>
    </xf>
    <xf numFmtId="0" fontId="3" fillId="6" borderId="9" xfId="0" applyFont="1" applyFill="1" applyBorder="1" applyAlignment="1">
      <alignment horizontal="left" vertical="center"/>
    </xf>
    <xf numFmtId="0" fontId="3" fillId="6" borderId="14" xfId="0" applyFont="1" applyFill="1" applyBorder="1" applyAlignment="1">
      <alignment horizontal="centerContinuous" vertical="center" wrapText="1"/>
    </xf>
    <xf numFmtId="0" fontId="3" fillId="6" borderId="52" xfId="0" applyFont="1" applyFill="1" applyBorder="1" applyAlignment="1">
      <alignment horizontal="centerContinuous" vertical="center" wrapText="1"/>
    </xf>
    <xf numFmtId="0" fontId="3" fillId="6" borderId="12" xfId="0" applyFont="1" applyFill="1" applyBorder="1" applyAlignment="1">
      <alignment horizontal="centerContinuous" vertical="center" wrapText="1"/>
    </xf>
    <xf numFmtId="0" fontId="3" fillId="6" borderId="41" xfId="0" applyFont="1" applyFill="1" applyBorder="1" applyAlignment="1">
      <alignment horizontal="centerContinuous" vertical="center" wrapText="1"/>
    </xf>
    <xf numFmtId="0" fontId="3" fillId="6" borderId="51" xfId="0" applyFont="1" applyFill="1" applyBorder="1" applyAlignment="1">
      <alignment horizontal="centerContinuous" vertical="center" wrapText="1"/>
    </xf>
    <xf numFmtId="0" fontId="3" fillId="6" borderId="50" xfId="0" applyFont="1" applyFill="1" applyBorder="1" applyAlignment="1">
      <alignment horizontal="centerContinuous" vertical="center" wrapText="1"/>
    </xf>
    <xf numFmtId="0" fontId="3" fillId="6" borderId="7"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3" fillId="16" borderId="9" xfId="0" applyFont="1" applyFill="1" applyBorder="1" applyAlignment="1">
      <alignment horizontal="center" vertical="center" wrapText="1"/>
    </xf>
    <xf numFmtId="0" fontId="3" fillId="16" borderId="1" xfId="0" applyFont="1" applyFill="1" applyBorder="1" applyAlignment="1">
      <alignment horizontal="center" vertical="center" wrapText="1"/>
    </xf>
    <xf numFmtId="2" fontId="3" fillId="16" borderId="1" xfId="0" applyNumberFormat="1" applyFont="1" applyFill="1" applyBorder="1" applyAlignment="1">
      <alignment horizontal="center" vertical="center" wrapText="1"/>
    </xf>
    <xf numFmtId="17" fontId="18" fillId="15" borderId="53" xfId="0" quotePrefix="1" applyNumberFormat="1" applyFont="1" applyFill="1" applyBorder="1" applyAlignment="1">
      <alignment horizontal="centerContinuous" vertical="center" wrapText="1"/>
    </xf>
    <xf numFmtId="0" fontId="4" fillId="15" borderId="54" xfId="0" applyFont="1" applyFill="1" applyBorder="1" applyAlignment="1">
      <alignment horizontal="centerContinuous" vertical="center" wrapText="1"/>
    </xf>
    <xf numFmtId="0" fontId="4" fillId="15" borderId="55" xfId="0" applyFont="1" applyFill="1" applyBorder="1" applyAlignment="1">
      <alignment horizontal="centerContinuous" vertical="center" wrapText="1"/>
    </xf>
    <xf numFmtId="0" fontId="3" fillId="6" borderId="9" xfId="0" applyFont="1" applyFill="1" applyBorder="1" applyAlignment="1">
      <alignment horizontal="centerContinuous" vertical="center" wrapText="1"/>
    </xf>
    <xf numFmtId="0" fontId="3" fillId="6" borderId="25" xfId="0" applyFont="1" applyFill="1" applyBorder="1" applyAlignment="1">
      <alignment horizontal="centerContinuous" vertical="center" wrapText="1"/>
    </xf>
    <xf numFmtId="0" fontId="4" fillId="19" borderId="53" xfId="0" applyFont="1" applyFill="1" applyBorder="1" applyAlignment="1">
      <alignment horizontal="centerContinuous" vertical="center" wrapText="1"/>
    </xf>
    <xf numFmtId="0" fontId="4" fillId="19" borderId="54" xfId="0" applyFont="1" applyFill="1" applyBorder="1" applyAlignment="1">
      <alignment horizontal="centerContinuous" vertical="center" wrapText="1"/>
    </xf>
    <xf numFmtId="0" fontId="4" fillId="19" borderId="55" xfId="0" applyFont="1" applyFill="1" applyBorder="1" applyAlignment="1">
      <alignment horizontal="centerContinuous" vertical="center" wrapText="1"/>
    </xf>
    <xf numFmtId="8" fontId="4" fillId="0" borderId="9" xfId="0" applyNumberFormat="1" applyFont="1" applyBorder="1" applyAlignment="1">
      <alignment horizontal="left" vertical="center" wrapText="1"/>
    </xf>
    <xf numFmtId="0" fontId="4" fillId="0" borderId="9" xfId="0" applyFont="1" applyBorder="1" applyAlignment="1">
      <alignment horizontal="center" vertical="top" wrapText="1"/>
    </xf>
    <xf numFmtId="0" fontId="4" fillId="0" borderId="9" xfId="0" applyFont="1" applyBorder="1" applyAlignment="1">
      <alignment horizontal="center" vertical="top"/>
    </xf>
    <xf numFmtId="0" fontId="4" fillId="0" borderId="0" xfId="0" applyFont="1" applyAlignment="1">
      <alignment horizontal="left" vertical="center" wrapText="1"/>
    </xf>
    <xf numFmtId="0" fontId="3" fillId="0" borderId="0" xfId="0" applyFont="1" applyAlignment="1">
      <alignment horizontal="left" vertical="top" wrapText="1"/>
    </xf>
    <xf numFmtId="0" fontId="4" fillId="0" borderId="0" xfId="0" applyFont="1" applyAlignment="1">
      <alignment horizontal="center"/>
    </xf>
    <xf numFmtId="0" fontId="4" fillId="0" borderId="0" xfId="0" applyFont="1" applyAlignment="1">
      <alignment horizontal="center" vertical="center" wrapText="1"/>
    </xf>
    <xf numFmtId="0" fontId="3" fillId="0" borderId="9" xfId="0" applyFont="1" applyBorder="1" applyAlignment="1">
      <alignment wrapText="1"/>
    </xf>
    <xf numFmtId="0" fontId="4" fillId="0" borderId="9" xfId="0" applyFont="1" applyBorder="1" applyAlignment="1">
      <alignment wrapText="1"/>
    </xf>
    <xf numFmtId="0" fontId="4" fillId="0" borderId="9" xfId="0" applyFont="1" applyBorder="1" applyAlignment="1">
      <alignment horizontal="right"/>
    </xf>
    <xf numFmtId="2" fontId="4" fillId="0" borderId="9" xfId="0" applyNumberFormat="1" applyFont="1" applyBorder="1" applyAlignment="1">
      <alignment horizontal="right"/>
    </xf>
    <xf numFmtId="0" fontId="3" fillId="0" borderId="9" xfId="0" applyFont="1" applyBorder="1" applyAlignment="1">
      <alignment horizontal="right" wrapText="1"/>
    </xf>
    <xf numFmtId="2" fontId="3" fillId="0" borderId="9" xfId="0" applyNumberFormat="1" applyFont="1" applyBorder="1" applyAlignment="1">
      <alignment horizontal="right"/>
    </xf>
    <xf numFmtId="0" fontId="0" fillId="0" borderId="0" xfId="0" applyAlignment="1">
      <alignment horizontal="center" vertical="top"/>
    </xf>
    <xf numFmtId="0" fontId="3" fillId="2" borderId="9" xfId="0" applyFont="1" applyFill="1" applyBorder="1" applyAlignment="1">
      <alignment horizontal="centerContinuous" vertical="center" wrapText="1"/>
    </xf>
    <xf numFmtId="0" fontId="3" fillId="2" borderId="25" xfId="0" applyFont="1" applyFill="1" applyBorder="1" applyAlignment="1">
      <alignment horizontal="centerContinuous" vertical="center" wrapText="1"/>
    </xf>
    <xf numFmtId="2" fontId="0" fillId="0" borderId="9" xfId="0" applyNumberFormat="1" applyBorder="1" applyAlignment="1">
      <alignment horizontal="left" vertical="center"/>
    </xf>
    <xf numFmtId="0" fontId="0" fillId="19" borderId="9" xfId="0" applyFill="1" applyBorder="1" applyAlignment="1">
      <alignment horizontal="left" vertical="center"/>
    </xf>
    <xf numFmtId="0" fontId="23" fillId="0" borderId="0" xfId="0" applyFont="1" applyAlignment="1">
      <alignment vertical="center"/>
    </xf>
    <xf numFmtId="0" fontId="0" fillId="10" borderId="0" xfId="0" applyFill="1" applyAlignment="1">
      <alignment horizontal="center" vertical="center"/>
    </xf>
    <xf numFmtId="0" fontId="0" fillId="10" borderId="0" xfId="0" applyFill="1"/>
    <xf numFmtId="0" fontId="17" fillId="0" borderId="0" xfId="0" applyFont="1" applyAlignment="1">
      <alignment horizontal="center" vertical="center"/>
    </xf>
    <xf numFmtId="0" fontId="17" fillId="0" borderId="0" xfId="0" applyFont="1" applyAlignment="1">
      <alignment horizontal="center" vertical="center" wrapText="1"/>
    </xf>
    <xf numFmtId="0" fontId="17" fillId="10" borderId="0" xfId="0" applyFont="1" applyFill="1" applyAlignment="1">
      <alignment horizontal="center" vertical="center" wrapText="1"/>
    </xf>
    <xf numFmtId="0" fontId="17" fillId="10" borderId="0" xfId="0" applyFont="1" applyFill="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wrapText="1"/>
    </xf>
    <xf numFmtId="0" fontId="17" fillId="0" borderId="0" xfId="0" applyFont="1" applyAlignment="1">
      <alignment vertical="center"/>
    </xf>
    <xf numFmtId="0" fontId="17" fillId="0" borderId="0" xfId="0" applyFont="1" applyAlignment="1">
      <alignment horizontal="center"/>
    </xf>
    <xf numFmtId="0" fontId="16" fillId="0" borderId="0" xfId="0" applyFont="1" applyAlignment="1">
      <alignment horizontal="center" vertical="center"/>
    </xf>
    <xf numFmtId="0" fontId="25" fillId="0" borderId="0" xfId="0" applyFont="1" applyAlignment="1">
      <alignment horizontal="center" vertical="center"/>
    </xf>
    <xf numFmtId="0" fontId="23" fillId="0" borderId="0" xfId="0" applyFont="1"/>
    <xf numFmtId="0" fontId="16" fillId="0" borderId="0" xfId="0" applyFont="1" applyAlignment="1">
      <alignment vertical="center"/>
    </xf>
    <xf numFmtId="0" fontId="24" fillId="0" borderId="0" xfId="0" applyFont="1" applyAlignment="1">
      <alignment vertical="center"/>
    </xf>
    <xf numFmtId="0" fontId="28" fillId="0" borderId="0" xfId="0" applyFont="1" applyAlignment="1">
      <alignment vertical="center" wrapText="1"/>
    </xf>
    <xf numFmtId="0" fontId="17" fillId="0" borderId="0" xfId="0" applyFont="1" applyAlignment="1">
      <alignment vertical="center" wrapText="1"/>
    </xf>
    <xf numFmtId="0" fontId="0" fillId="10" borderId="0" xfId="0" applyFill="1" applyAlignment="1">
      <alignment horizontal="center"/>
    </xf>
    <xf numFmtId="0" fontId="0" fillId="15" borderId="0" xfId="0" applyFill="1"/>
    <xf numFmtId="0" fontId="7" fillId="15" borderId="0" xfId="0" applyFont="1" applyFill="1"/>
    <xf numFmtId="0" fontId="16" fillId="0" borderId="0" xfId="0" applyFont="1" applyAlignment="1">
      <alignment horizontal="center" vertical="center" wrapText="1"/>
    </xf>
    <xf numFmtId="0" fontId="16" fillId="0" borderId="0" xfId="0" applyFont="1" applyAlignment="1">
      <alignment horizontal="left" vertical="center"/>
    </xf>
    <xf numFmtId="0" fontId="17" fillId="0" borderId="0" xfId="0" quotePrefix="1" applyFont="1" applyAlignment="1">
      <alignment horizontal="center" vertical="center"/>
    </xf>
    <xf numFmtId="0" fontId="0" fillId="10" borderId="9" xfId="0" applyFill="1" applyBorder="1"/>
    <xf numFmtId="0" fontId="0" fillId="22" borderId="0" xfId="0" applyFill="1" applyAlignment="1">
      <alignment horizontal="center"/>
    </xf>
    <xf numFmtId="0" fontId="0" fillId="22" borderId="0" xfId="0" applyFill="1"/>
    <xf numFmtId="0" fontId="0" fillId="22" borderId="0" xfId="0" applyFill="1" applyAlignment="1">
      <alignment vertical="center"/>
    </xf>
    <xf numFmtId="0" fontId="17" fillId="22" borderId="0" xfId="0" applyFont="1" applyFill="1" applyAlignment="1">
      <alignment horizontal="center" vertical="center" wrapText="1"/>
    </xf>
    <xf numFmtId="0" fontId="17" fillId="22" borderId="0" xfId="0" applyFont="1" applyFill="1" applyAlignment="1">
      <alignment horizontal="center" vertical="center"/>
    </xf>
    <xf numFmtId="0" fontId="0" fillId="22" borderId="0" xfId="0" applyFill="1" applyAlignment="1">
      <alignment horizontal="center" vertical="center"/>
    </xf>
    <xf numFmtId="0" fontId="22" fillId="0" borderId="0" xfId="0" applyFont="1" applyAlignment="1">
      <alignment horizontal="center"/>
    </xf>
    <xf numFmtId="0" fontId="0" fillId="10" borderId="7" xfId="0" applyFill="1" applyBorder="1"/>
    <xf numFmtId="0" fontId="0" fillId="0" borderId="0" xfId="0" applyAlignment="1">
      <alignment horizontal="center" wrapText="1"/>
    </xf>
    <xf numFmtId="0" fontId="2" fillId="0" borderId="0" xfId="0" applyFont="1" applyAlignment="1">
      <alignment horizontal="center"/>
    </xf>
    <xf numFmtId="0" fontId="0" fillId="3" borderId="9" xfId="0" applyFill="1" applyBorder="1" applyAlignment="1">
      <alignment horizontal="left" vertical="center"/>
    </xf>
    <xf numFmtId="0" fontId="3" fillId="24" borderId="24" xfId="0" applyFont="1" applyFill="1" applyBorder="1" applyAlignment="1">
      <alignment horizontal="center" vertical="center" wrapText="1"/>
    </xf>
    <xf numFmtId="0" fontId="3" fillId="24" borderId="9"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4" borderId="24" xfId="0" applyFont="1" applyFill="1" applyBorder="1" applyAlignment="1">
      <alignment horizontal="left"/>
    </xf>
    <xf numFmtId="0" fontId="3" fillId="24" borderId="9" xfId="0" applyFont="1" applyFill="1" applyBorder="1" applyAlignment="1">
      <alignment horizontal="center" vertical="center"/>
    </xf>
    <xf numFmtId="2" fontId="3" fillId="24" borderId="1" xfId="0" applyNumberFormat="1"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16" borderId="14" xfId="0" applyFont="1" applyFill="1" applyBorder="1" applyAlignment="1">
      <alignment horizontal="center" vertical="center" wrapText="1"/>
    </xf>
    <xf numFmtId="0" fontId="3" fillId="24" borderId="7" xfId="0" applyFont="1" applyFill="1" applyBorder="1" applyAlignment="1">
      <alignment horizontal="center" vertical="center" wrapText="1"/>
    </xf>
    <xf numFmtId="0" fontId="0" fillId="10" borderId="9" xfId="0" applyFill="1" applyBorder="1" applyAlignment="1">
      <alignment horizontal="center"/>
    </xf>
    <xf numFmtId="0" fontId="0" fillId="30" borderId="0" xfId="0" applyFill="1" applyAlignment="1">
      <alignment horizontal="center" vertical="center"/>
    </xf>
    <xf numFmtId="0" fontId="0" fillId="2" borderId="9" xfId="0" applyFill="1" applyBorder="1"/>
    <xf numFmtId="0" fontId="0" fillId="2" borderId="0" xfId="0" applyFill="1"/>
    <xf numFmtId="0" fontId="0" fillId="2" borderId="0" xfId="0" applyFill="1" applyAlignment="1">
      <alignment horizontal="center"/>
    </xf>
    <xf numFmtId="0" fontId="7" fillId="2" borderId="0" xfId="0" applyFont="1" applyFill="1"/>
    <xf numFmtId="0" fontId="17" fillId="2" borderId="0" xfId="0" applyFont="1" applyFill="1" applyAlignment="1">
      <alignment horizontal="center" vertical="center" wrapText="1"/>
    </xf>
    <xf numFmtId="0" fontId="7" fillId="19" borderId="0" xfId="0" applyFont="1" applyFill="1"/>
    <xf numFmtId="0" fontId="3" fillId="16" borderId="9" xfId="0" applyFont="1" applyFill="1" applyBorder="1" applyAlignment="1">
      <alignment horizontal="left"/>
    </xf>
    <xf numFmtId="0" fontId="3" fillId="16" borderId="14" xfId="0" applyFont="1" applyFill="1" applyBorder="1" applyAlignment="1">
      <alignment horizontal="center" vertical="center"/>
    </xf>
    <xf numFmtId="0" fontId="29" fillId="0" borderId="9" xfId="0" applyFont="1" applyBorder="1" applyAlignment="1">
      <alignment horizontal="left" vertical="top" wrapText="1"/>
    </xf>
    <xf numFmtId="0" fontId="30" fillId="0" borderId="9" xfId="0" applyFont="1" applyBorder="1" applyAlignment="1">
      <alignment horizontal="left" vertical="center" wrapText="1"/>
    </xf>
    <xf numFmtId="0" fontId="30" fillId="0" borderId="9" xfId="0" applyFont="1" applyBorder="1" applyAlignment="1">
      <alignment horizontal="center" vertical="center" wrapText="1"/>
    </xf>
    <xf numFmtId="0" fontId="30" fillId="0" borderId="9" xfId="0" applyFont="1" applyBorder="1" applyAlignment="1">
      <alignment horizontal="center" vertical="top" wrapText="1"/>
    </xf>
    <xf numFmtId="0" fontId="30" fillId="0" borderId="9" xfId="0" applyFont="1" applyBorder="1" applyAlignment="1">
      <alignment horizontal="center" vertical="top"/>
    </xf>
    <xf numFmtId="0" fontId="30" fillId="0" borderId="9" xfId="0" applyFont="1" applyBorder="1" applyAlignment="1">
      <alignment horizontal="left" vertical="center"/>
    </xf>
    <xf numFmtId="0" fontId="3" fillId="24" borderId="9" xfId="0" applyFont="1" applyFill="1" applyBorder="1" applyAlignment="1">
      <alignment horizontal="left"/>
    </xf>
    <xf numFmtId="0" fontId="3" fillId="24" borderId="14" xfId="0" applyFont="1" applyFill="1" applyBorder="1" applyAlignment="1">
      <alignment horizontal="center" vertical="center"/>
    </xf>
    <xf numFmtId="0" fontId="7" fillId="17" borderId="0" xfId="0" applyFont="1" applyFill="1"/>
    <xf numFmtId="0" fontId="16" fillId="33" borderId="0" xfId="0" applyFont="1" applyFill="1" applyAlignment="1">
      <alignment horizontal="center" vertical="center"/>
    </xf>
    <xf numFmtId="0" fontId="0" fillId="33" borderId="0" xfId="0" applyFill="1" applyAlignment="1">
      <alignment horizontal="center"/>
    </xf>
    <xf numFmtId="0" fontId="0" fillId="33" borderId="0" xfId="0" applyFill="1"/>
    <xf numFmtId="0" fontId="16" fillId="33" borderId="0" xfId="0" applyFont="1" applyFill="1" applyAlignment="1">
      <alignment vertical="center"/>
    </xf>
    <xf numFmtId="0" fontId="3" fillId="19" borderId="24" xfId="0" applyFont="1" applyFill="1" applyBorder="1" applyAlignment="1">
      <alignment horizontal="left"/>
    </xf>
    <xf numFmtId="2" fontId="0" fillId="19" borderId="9" xfId="0" applyNumberFormat="1" applyFill="1" applyBorder="1" applyAlignment="1">
      <alignment horizontal="center" vertical="center"/>
    </xf>
    <xf numFmtId="0" fontId="3" fillId="17" borderId="24" xfId="0" applyFont="1" applyFill="1" applyBorder="1" applyAlignment="1">
      <alignment horizontal="left"/>
    </xf>
    <xf numFmtId="2" fontId="0" fillId="17" borderId="9" xfId="0" applyNumberFormat="1" applyFill="1" applyBorder="1" applyAlignment="1">
      <alignment horizontal="center" vertical="center"/>
    </xf>
    <xf numFmtId="2" fontId="0" fillId="17" borderId="14" xfId="0" applyNumberFormat="1" applyFill="1" applyBorder="1" applyAlignment="1">
      <alignment horizontal="center" vertical="center"/>
    </xf>
    <xf numFmtId="2" fontId="2" fillId="0" borderId="9" xfId="0" applyNumberFormat="1" applyFont="1" applyBorder="1" applyAlignment="1">
      <alignment horizontal="center" vertical="center" wrapText="1"/>
    </xf>
    <xf numFmtId="0" fontId="3" fillId="19" borderId="9" xfId="0" applyFont="1" applyFill="1" applyBorder="1" applyAlignment="1">
      <alignment horizontal="left"/>
    </xf>
    <xf numFmtId="2" fontId="0" fillId="19" borderId="9" xfId="0" applyNumberFormat="1" applyFill="1" applyBorder="1" applyAlignment="1">
      <alignment horizontal="center" vertical="center" wrapText="1"/>
    </xf>
    <xf numFmtId="2" fontId="0" fillId="19" borderId="10" xfId="0" applyNumberFormat="1" applyFill="1" applyBorder="1" applyAlignment="1">
      <alignment horizontal="center" vertical="center"/>
    </xf>
    <xf numFmtId="0" fontId="3" fillId="19" borderId="9" xfId="0" applyFont="1" applyFill="1" applyBorder="1" applyAlignment="1">
      <alignment horizontal="left" wrapText="1"/>
    </xf>
    <xf numFmtId="0" fontId="3" fillId="17" borderId="9" xfId="0" applyFont="1" applyFill="1" applyBorder="1" applyAlignment="1">
      <alignment horizontal="left"/>
    </xf>
    <xf numFmtId="2" fontId="0" fillId="17" borderId="10" xfId="0" applyNumberFormat="1" applyFill="1" applyBorder="1" applyAlignment="1">
      <alignment horizontal="center" vertical="center"/>
    </xf>
    <xf numFmtId="0" fontId="4" fillId="17" borderId="53" xfId="0" applyFont="1" applyFill="1" applyBorder="1" applyAlignment="1">
      <alignment horizontal="centerContinuous" vertical="center" wrapText="1"/>
    </xf>
    <xf numFmtId="0" fontId="4" fillId="17" borderId="54" xfId="0" applyFont="1" applyFill="1" applyBorder="1" applyAlignment="1">
      <alignment horizontal="centerContinuous" vertical="center" wrapText="1"/>
    </xf>
    <xf numFmtId="0" fontId="4" fillId="17" borderId="55" xfId="0" applyFont="1" applyFill="1" applyBorder="1" applyAlignment="1">
      <alignment horizontal="centerContinuous" vertical="center" wrapText="1"/>
    </xf>
    <xf numFmtId="0" fontId="3" fillId="24" borderId="14" xfId="0" applyFont="1" applyFill="1" applyBorder="1" applyAlignment="1">
      <alignment horizontal="centerContinuous" vertical="center" wrapText="1"/>
    </xf>
    <xf numFmtId="0" fontId="3" fillId="24" borderId="52" xfId="0" applyFont="1" applyFill="1" applyBorder="1" applyAlignment="1">
      <alignment horizontal="centerContinuous" vertical="center" wrapText="1"/>
    </xf>
    <xf numFmtId="0" fontId="3" fillId="24" borderId="9" xfId="0" applyFont="1" applyFill="1" applyBorder="1" applyAlignment="1">
      <alignment horizontal="centerContinuous" vertical="center" wrapText="1"/>
    </xf>
    <xf numFmtId="0" fontId="3" fillId="24" borderId="25" xfId="0" applyFont="1" applyFill="1" applyBorder="1" applyAlignment="1">
      <alignment horizontal="centerContinuous" vertical="center" wrapText="1"/>
    </xf>
    <xf numFmtId="0" fontId="3" fillId="24" borderId="12" xfId="0" applyFont="1" applyFill="1" applyBorder="1" applyAlignment="1">
      <alignment horizontal="centerContinuous" vertical="center" wrapText="1"/>
    </xf>
    <xf numFmtId="0" fontId="3" fillId="24" borderId="41" xfId="0" applyFont="1" applyFill="1" applyBorder="1" applyAlignment="1">
      <alignment horizontal="centerContinuous" vertical="center" wrapText="1"/>
    </xf>
    <xf numFmtId="0" fontId="3" fillId="24" borderId="51" xfId="0" applyFont="1" applyFill="1" applyBorder="1" applyAlignment="1">
      <alignment horizontal="centerContinuous" vertical="center" wrapText="1"/>
    </xf>
    <xf numFmtId="0" fontId="3" fillId="24" borderId="50" xfId="0" applyFont="1" applyFill="1" applyBorder="1" applyAlignment="1">
      <alignment horizontal="centerContinuous" vertical="center" wrapText="1"/>
    </xf>
    <xf numFmtId="0" fontId="3" fillId="24" borderId="9" xfId="0" applyFont="1" applyFill="1" applyBorder="1" applyAlignment="1">
      <alignment horizontal="left" vertical="center" wrapText="1"/>
    </xf>
    <xf numFmtId="0" fontId="3" fillId="24" borderId="9" xfId="0" applyFont="1" applyFill="1" applyBorder="1" applyAlignment="1">
      <alignment horizontal="left" vertical="center"/>
    </xf>
    <xf numFmtId="0" fontId="3" fillId="2" borderId="2" xfId="0" applyFont="1" applyFill="1" applyBorder="1" applyAlignment="1">
      <alignment vertical="center" wrapText="1"/>
    </xf>
    <xf numFmtId="0" fontId="7" fillId="17" borderId="9" xfId="0" applyFont="1" applyFill="1" applyBorder="1" applyAlignment="1">
      <alignment horizontal="left" vertical="center"/>
    </xf>
    <xf numFmtId="0" fontId="0" fillId="17" borderId="9" xfId="0" applyFill="1" applyBorder="1" applyAlignment="1">
      <alignment horizontal="center" vertical="center"/>
    </xf>
    <xf numFmtId="0" fontId="0" fillId="17" borderId="9" xfId="0" applyFill="1" applyBorder="1" applyAlignment="1">
      <alignment horizontal="left"/>
    </xf>
    <xf numFmtId="0" fontId="0" fillId="17" borderId="9" xfId="0" applyFill="1" applyBorder="1"/>
    <xf numFmtId="0" fontId="2" fillId="28" borderId="9" xfId="0" applyFont="1" applyFill="1" applyBorder="1" applyAlignment="1">
      <alignment horizontal="center" vertical="center" wrapText="1"/>
    </xf>
    <xf numFmtId="0" fontId="2" fillId="28" borderId="9" xfId="1" applyFont="1" applyFill="1" applyBorder="1" applyAlignment="1">
      <alignment horizontal="center" vertical="center"/>
    </xf>
    <xf numFmtId="0" fontId="2" fillId="28" borderId="9" xfId="0" applyFont="1" applyFill="1" applyBorder="1" applyAlignment="1">
      <alignment horizontal="center" vertical="center"/>
    </xf>
    <xf numFmtId="0" fontId="13" fillId="2" borderId="40" xfId="0" applyFont="1" applyFill="1" applyBorder="1" applyAlignment="1">
      <alignment vertical="center"/>
    </xf>
    <xf numFmtId="0" fontId="13" fillId="2" borderId="9" xfId="0" applyFont="1" applyFill="1" applyBorder="1" applyAlignment="1">
      <alignment vertical="center" wrapText="1"/>
    </xf>
    <xf numFmtId="0" fontId="13" fillId="2" borderId="10" xfId="0" applyFont="1" applyFill="1" applyBorder="1" applyAlignment="1">
      <alignment vertical="center" wrapText="1"/>
    </xf>
    <xf numFmtId="0" fontId="13" fillId="2" borderId="0" xfId="0" applyFont="1" applyFill="1" applyAlignment="1">
      <alignment vertical="center" wrapText="1"/>
    </xf>
    <xf numFmtId="2" fontId="2" fillId="0" borderId="0" xfId="0" applyNumberFormat="1" applyFont="1" applyAlignment="1">
      <alignment horizontal="center" vertical="center"/>
    </xf>
    <xf numFmtId="0" fontId="2" fillId="0" borderId="0" xfId="0" applyFont="1" applyAlignment="1">
      <alignment horizontal="center" vertical="center" wrapText="1"/>
    </xf>
    <xf numFmtId="0" fontId="2" fillId="2" borderId="9" xfId="0" applyFont="1" applyFill="1" applyBorder="1" applyAlignment="1">
      <alignment horizontal="center" vertical="center" wrapText="1"/>
    </xf>
    <xf numFmtId="0" fontId="2" fillId="8" borderId="7" xfId="1" applyFont="1" applyFill="1" applyBorder="1" applyAlignment="1">
      <alignment vertical="center"/>
    </xf>
    <xf numFmtId="0" fontId="2" fillId="3" borderId="10" xfId="0" applyFont="1" applyFill="1" applyBorder="1" applyAlignment="1">
      <alignment horizontal="center" vertical="center"/>
    </xf>
    <xf numFmtId="0" fontId="2" fillId="0" borderId="7" xfId="0" applyFont="1" applyBorder="1" applyAlignment="1">
      <alignment horizontal="center"/>
    </xf>
    <xf numFmtId="0" fontId="2" fillId="18" borderId="9" xfId="2" applyFont="1" applyBorder="1" applyAlignment="1">
      <alignment horizontal="center" vertical="center" wrapText="1"/>
    </xf>
    <xf numFmtId="0" fontId="2" fillId="18" borderId="9" xfId="2" applyFont="1" applyBorder="1" applyAlignment="1">
      <alignment horizontal="center"/>
    </xf>
    <xf numFmtId="0" fontId="2" fillId="18" borderId="9" xfId="2" applyNumberFormat="1" applyFont="1" applyBorder="1" applyAlignment="1">
      <alignment horizontal="center"/>
    </xf>
    <xf numFmtId="0" fontId="2" fillId="18" borderId="9" xfId="2" applyFont="1" applyBorder="1"/>
    <xf numFmtId="0" fontId="2" fillId="18" borderId="9" xfId="2" applyFont="1" applyBorder="1" applyAlignment="1">
      <alignment horizontal="center" wrapText="1"/>
    </xf>
    <xf numFmtId="0" fontId="2" fillId="18" borderId="9" xfId="2" applyFont="1" applyBorder="1" applyAlignment="1">
      <alignment horizontal="center" vertical="center"/>
    </xf>
    <xf numFmtId="0" fontId="2" fillId="0" borderId="7" xfId="0" applyFont="1" applyBorder="1" applyAlignment="1">
      <alignment vertical="center" wrapText="1"/>
    </xf>
    <xf numFmtId="2" fontId="2" fillId="18" borderId="9" xfId="2" applyNumberFormat="1" applyFont="1" applyBorder="1" applyAlignment="1">
      <alignment horizontal="center" vertical="center"/>
    </xf>
    <xf numFmtId="0" fontId="2" fillId="3" borderId="10" xfId="1" applyFont="1" applyFill="1" applyBorder="1" applyAlignment="1">
      <alignment horizontal="center" vertical="center"/>
    </xf>
    <xf numFmtId="0" fontId="2" fillId="0" borderId="9" xfId="1" applyFont="1" applyFill="1" applyBorder="1" applyAlignment="1">
      <alignment horizontal="center" vertical="center" wrapText="1"/>
    </xf>
    <xf numFmtId="0" fontId="2" fillId="0" borderId="9" xfId="0" applyFont="1" applyBorder="1" applyAlignment="1">
      <alignment wrapText="1"/>
    </xf>
    <xf numFmtId="0" fontId="2" fillId="0" borderId="7" xfId="0" applyFont="1" applyBorder="1" applyAlignment="1">
      <alignment vertical="center"/>
    </xf>
    <xf numFmtId="0" fontId="2" fillId="0" borderId="11" xfId="0" applyFont="1" applyBorder="1" applyAlignment="1">
      <alignment vertical="center"/>
    </xf>
    <xf numFmtId="0" fontId="2" fillId="0" borderId="11" xfId="0" applyFont="1" applyBorder="1" applyAlignment="1">
      <alignment horizontal="center"/>
    </xf>
    <xf numFmtId="0" fontId="2" fillId="0" borderId="3" xfId="0" applyFont="1" applyBorder="1" applyAlignment="1">
      <alignment horizontal="center"/>
    </xf>
    <xf numFmtId="0" fontId="2" fillId="0" borderId="14" xfId="0" applyFont="1" applyBorder="1" applyAlignment="1">
      <alignment horizontal="center"/>
    </xf>
    <xf numFmtId="0" fontId="2" fillId="3" borderId="10" xfId="0" applyFont="1" applyFill="1" applyBorder="1" applyAlignment="1">
      <alignment horizontal="center"/>
    </xf>
    <xf numFmtId="0" fontId="2" fillId="3" borderId="10" xfId="1" applyFont="1" applyFill="1" applyBorder="1" applyAlignment="1">
      <alignment vertical="center"/>
    </xf>
    <xf numFmtId="0" fontId="2" fillId="18" borderId="7" xfId="2" applyFont="1" applyBorder="1" applyAlignment="1">
      <alignment horizontal="center" vertical="center"/>
    </xf>
    <xf numFmtId="0" fontId="2" fillId="18" borderId="7" xfId="2" applyFont="1" applyBorder="1" applyAlignment="1">
      <alignment horizontal="center"/>
    </xf>
    <xf numFmtId="0" fontId="2" fillId="8" borderId="7" xfId="0" applyFont="1" applyFill="1" applyBorder="1" applyAlignment="1">
      <alignment vertical="center"/>
    </xf>
    <xf numFmtId="1" fontId="2" fillId="0" borderId="9" xfId="0" applyNumberFormat="1" applyFont="1" applyBorder="1"/>
    <xf numFmtId="0" fontId="2" fillId="3" borderId="10" xfId="0" applyFont="1" applyFill="1" applyBorder="1" applyAlignment="1">
      <alignment vertical="center" wrapText="1"/>
    </xf>
    <xf numFmtId="2" fontId="2" fillId="18" borderId="9" xfId="2" applyNumberFormat="1" applyFont="1" applyBorder="1" applyAlignment="1">
      <alignment horizontal="center"/>
    </xf>
    <xf numFmtId="0" fontId="2" fillId="8" borderId="16" xfId="0" applyFont="1" applyFill="1" applyBorder="1" applyAlignment="1">
      <alignment vertical="center" wrapText="1"/>
    </xf>
    <xf numFmtId="0" fontId="2" fillId="3" borderId="13" xfId="0" applyFont="1" applyFill="1" applyBorder="1" applyAlignment="1">
      <alignment vertical="center"/>
    </xf>
    <xf numFmtId="0" fontId="2" fillId="0" borderId="16" xfId="0" applyFont="1" applyBorder="1" applyAlignment="1">
      <alignment vertical="center"/>
    </xf>
    <xf numFmtId="0" fontId="2" fillId="0" borderId="0" xfId="0" applyFont="1" applyAlignment="1">
      <alignment vertical="center"/>
    </xf>
    <xf numFmtId="0" fontId="2" fillId="28" borderId="10" xfId="0" applyFont="1" applyFill="1" applyBorder="1" applyAlignment="1">
      <alignment horizontal="center" vertical="center"/>
    </xf>
    <xf numFmtId="2" fontId="2" fillId="28" borderId="9" xfId="0" applyNumberFormat="1" applyFont="1" applyFill="1" applyBorder="1" applyAlignment="1">
      <alignment horizontal="center" vertical="center"/>
    </xf>
    <xf numFmtId="0" fontId="2" fillId="28" borderId="9" xfId="0" applyFont="1" applyFill="1" applyBorder="1"/>
    <xf numFmtId="0" fontId="13" fillId="19" borderId="9" xfId="0" applyFont="1" applyFill="1" applyBorder="1" applyAlignment="1">
      <alignment horizontal="left" vertical="center"/>
    </xf>
    <xf numFmtId="0" fontId="2" fillId="19" borderId="9" xfId="0" applyFont="1" applyFill="1" applyBorder="1" applyAlignment="1">
      <alignment horizontal="left"/>
    </xf>
    <xf numFmtId="0" fontId="2" fillId="19" borderId="9" xfId="0" applyFont="1" applyFill="1" applyBorder="1"/>
    <xf numFmtId="0" fontId="2" fillId="0" borderId="9" xfId="0" applyFont="1" applyBorder="1" applyAlignment="1">
      <alignment horizontal="left"/>
    </xf>
    <xf numFmtId="0" fontId="2" fillId="28" borderId="11" xfId="0" applyFont="1" applyFill="1" applyBorder="1" applyAlignment="1">
      <alignment horizontal="left" vertical="center"/>
    </xf>
    <xf numFmtId="2" fontId="2" fillId="28" borderId="7" xfId="0" applyNumberFormat="1" applyFont="1" applyFill="1" applyBorder="1" applyAlignment="1">
      <alignment horizontal="center" vertical="center"/>
    </xf>
    <xf numFmtId="0" fontId="2" fillId="0" borderId="11" xfId="0" applyFont="1" applyBorder="1" applyAlignment="1">
      <alignment horizontal="left" vertical="center"/>
    </xf>
    <xf numFmtId="0" fontId="2" fillId="0" borderId="9" xfId="0" applyFont="1" applyBorder="1" applyAlignment="1">
      <alignment horizontal="left" vertical="center" wrapText="1"/>
    </xf>
    <xf numFmtId="0" fontId="2" fillId="28" borderId="9" xfId="0" applyFont="1" applyFill="1" applyBorder="1" applyAlignment="1">
      <alignment horizontal="left" vertical="center" wrapText="1"/>
    </xf>
    <xf numFmtId="0" fontId="13" fillId="17" borderId="9" xfId="0" applyFont="1" applyFill="1" applyBorder="1" applyAlignment="1">
      <alignment horizontal="left" vertical="center"/>
    </xf>
    <xf numFmtId="0" fontId="2" fillId="17" borderId="9" xfId="0" applyFont="1" applyFill="1" applyBorder="1" applyAlignment="1">
      <alignment horizontal="center" vertical="center"/>
    </xf>
    <xf numFmtId="0" fontId="2" fillId="17" borderId="9" xfId="0" applyFont="1" applyFill="1" applyBorder="1" applyAlignment="1">
      <alignment horizontal="left"/>
    </xf>
    <xf numFmtId="0" fontId="2" fillId="17" borderId="9" xfId="0" applyFont="1" applyFill="1" applyBorder="1"/>
    <xf numFmtId="0" fontId="2" fillId="17" borderId="9" xfId="0" applyFont="1" applyFill="1" applyBorder="1" applyAlignment="1">
      <alignment horizontal="left" vertical="center"/>
    </xf>
    <xf numFmtId="0" fontId="2" fillId="2" borderId="11" xfId="0" applyFont="1" applyFill="1" applyBorder="1" applyAlignment="1">
      <alignment horizontal="left" vertical="center"/>
    </xf>
    <xf numFmtId="0" fontId="2" fillId="2" borderId="9" xfId="0" applyFont="1" applyFill="1" applyBorder="1" applyAlignment="1">
      <alignment horizontal="left" vertical="center" wrapText="1"/>
    </xf>
    <xf numFmtId="2" fontId="2" fillId="2" borderId="7" xfId="0" applyNumberFormat="1"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xf numFmtId="0" fontId="2" fillId="0" borderId="7" xfId="0" applyFont="1" applyBorder="1" applyAlignment="1">
      <alignment wrapText="1"/>
    </xf>
    <xf numFmtId="0" fontId="2" fillId="0" borderId="11" xfId="0" applyFont="1" applyBorder="1" applyAlignment="1">
      <alignment wrapText="1"/>
    </xf>
    <xf numFmtId="0" fontId="2" fillId="0" borderId="14" xfId="0" applyFont="1" applyBorder="1" applyAlignment="1">
      <alignment wrapText="1"/>
    </xf>
    <xf numFmtId="0" fontId="8" fillId="0" borderId="9" xfId="0" applyFont="1" applyBorder="1" applyAlignment="1">
      <alignment horizontal="center" vertical="center"/>
    </xf>
    <xf numFmtId="0" fontId="2" fillId="0" borderId="9" xfId="4" applyFont="1" applyFill="1" applyBorder="1"/>
    <xf numFmtId="0" fontId="8" fillId="0" borderId="9" xfId="3" applyFont="1" applyFill="1" applyBorder="1" applyAlignment="1">
      <alignment horizontal="center" vertical="center"/>
    </xf>
    <xf numFmtId="0" fontId="2" fillId="0" borderId="15" xfId="0" applyFont="1" applyBorder="1" applyAlignment="1">
      <alignment horizontal="center" vertical="center"/>
    </xf>
    <xf numFmtId="0" fontId="2" fillId="0" borderId="15" xfId="0" applyFont="1" applyBorder="1" applyAlignment="1">
      <alignment vertical="center"/>
    </xf>
    <xf numFmtId="0" fontId="2" fillId="0" borderId="15" xfId="1" applyFont="1" applyFill="1" applyBorder="1" applyAlignment="1">
      <alignment horizontal="center" vertical="center"/>
    </xf>
    <xf numFmtId="0" fontId="2" fillId="0" borderId="15" xfId="0" applyFont="1" applyBorder="1" applyAlignment="1">
      <alignment horizontal="center" vertical="center" wrapText="1"/>
    </xf>
    <xf numFmtId="2" fontId="2" fillId="0" borderId="15" xfId="0" applyNumberFormat="1" applyFont="1" applyBorder="1" applyAlignment="1">
      <alignment horizontal="center" vertical="center"/>
    </xf>
    <xf numFmtId="0" fontId="2" fillId="0" borderId="15" xfId="0" applyFont="1" applyBorder="1"/>
    <xf numFmtId="0" fontId="2" fillId="0" borderId="15" xfId="0" applyFont="1" applyBorder="1" applyAlignment="1">
      <alignment horizontal="left" vertical="center"/>
    </xf>
    <xf numFmtId="0" fontId="2" fillId="0" borderId="41" xfId="0" applyFont="1" applyBorder="1" applyAlignment="1">
      <alignment horizontal="center" vertical="center"/>
    </xf>
    <xf numFmtId="0" fontId="2" fillId="0" borderId="41" xfId="0" applyFont="1" applyBorder="1" applyAlignment="1">
      <alignment horizontal="center" vertical="center" wrapText="1"/>
    </xf>
    <xf numFmtId="2" fontId="2" fillId="0" borderId="41" xfId="0" applyNumberFormat="1" applyFont="1" applyBorder="1" applyAlignment="1">
      <alignment horizontal="center" vertical="center"/>
    </xf>
    <xf numFmtId="0" fontId="2" fillId="0" borderId="41" xfId="0" applyFont="1" applyBorder="1"/>
    <xf numFmtId="0" fontId="31" fillId="0" borderId="9" xfId="0" applyFont="1" applyBorder="1" applyAlignment="1">
      <alignment horizontal="left" vertical="top" wrapText="1"/>
    </xf>
    <xf numFmtId="0" fontId="11" fillId="8" borderId="20" xfId="0" applyFont="1" applyFill="1" applyBorder="1" applyAlignment="1">
      <alignment horizontal="center"/>
    </xf>
    <xf numFmtId="0" fontId="11" fillId="8" borderId="0" xfId="0" applyFont="1" applyFill="1" applyAlignment="1">
      <alignment horizontal="center"/>
    </xf>
    <xf numFmtId="0" fontId="11" fillId="8" borderId="21" xfId="0" applyFont="1" applyFill="1" applyBorder="1" applyAlignment="1">
      <alignment horizontal="center"/>
    </xf>
    <xf numFmtId="0" fontId="7" fillId="0" borderId="20" xfId="0" applyFont="1" applyBorder="1" applyAlignment="1">
      <alignment horizontal="left" vertical="top" wrapText="1"/>
    </xf>
    <xf numFmtId="0" fontId="7" fillId="0" borderId="0" xfId="0" applyFont="1" applyAlignment="1">
      <alignment horizontal="left" vertical="top" wrapText="1"/>
    </xf>
    <xf numFmtId="0" fontId="7" fillId="0" borderId="21" xfId="0" applyFont="1" applyBorder="1" applyAlignment="1">
      <alignment horizontal="left" vertical="top" wrapText="1"/>
    </xf>
    <xf numFmtId="0" fontId="0" fillId="0" borderId="24" xfId="0" applyBorder="1" applyAlignment="1">
      <alignment horizontal="left" wrapText="1"/>
    </xf>
    <xf numFmtId="0" fontId="0" fillId="0" borderId="9" xfId="0" applyBorder="1" applyAlignment="1">
      <alignment horizontal="left" wrapText="1"/>
    </xf>
    <xf numFmtId="0" fontId="0" fillId="0" borderId="25" xfId="0" applyBorder="1" applyAlignment="1">
      <alignment horizontal="left" wrapText="1"/>
    </xf>
    <xf numFmtId="0" fontId="0" fillId="0" borderId="22" xfId="0" applyBorder="1" applyAlignment="1">
      <alignment horizontal="left" vertical="top" wrapText="1"/>
    </xf>
    <xf numFmtId="0" fontId="0" fillId="0" borderId="8" xfId="0" applyBorder="1" applyAlignment="1">
      <alignment horizontal="left" vertical="top" wrapText="1"/>
    </xf>
    <xf numFmtId="0" fontId="0" fillId="0" borderId="23" xfId="0" applyBorder="1" applyAlignment="1">
      <alignment horizontal="left" vertical="top" wrapText="1"/>
    </xf>
    <xf numFmtId="0" fontId="0" fillId="0" borderId="22" xfId="0" applyBorder="1" applyAlignment="1">
      <alignment horizontal="left" wrapText="1"/>
    </xf>
    <xf numFmtId="0" fontId="0" fillId="0" borderId="8" xfId="0" applyBorder="1" applyAlignment="1">
      <alignment horizontal="left" wrapText="1"/>
    </xf>
    <xf numFmtId="0" fontId="0" fillId="0" borderId="23" xfId="0" applyBorder="1" applyAlignment="1">
      <alignment horizontal="left" wrapText="1"/>
    </xf>
    <xf numFmtId="0" fontId="0" fillId="0" borderId="24" xfId="0" applyBorder="1" applyAlignment="1">
      <alignment horizontal="left"/>
    </xf>
    <xf numFmtId="0" fontId="0" fillId="0" borderId="9" xfId="0" applyBorder="1" applyAlignment="1">
      <alignment horizontal="left"/>
    </xf>
    <xf numFmtId="0" fontId="0" fillId="0" borderId="25" xfId="0" applyBorder="1" applyAlignment="1">
      <alignment horizontal="left"/>
    </xf>
    <xf numFmtId="0" fontId="7" fillId="6" borderId="28" xfId="0" applyFont="1" applyFill="1" applyBorder="1" applyAlignment="1">
      <alignment horizontal="left" wrapText="1"/>
    </xf>
    <xf numFmtId="0" fontId="0" fillId="6" borderId="29" xfId="0" applyFill="1" applyBorder="1" applyAlignment="1">
      <alignment horizontal="left" wrapText="1"/>
    </xf>
    <xf numFmtId="0" fontId="0" fillId="6" borderId="30" xfId="0" applyFill="1" applyBorder="1" applyAlignment="1">
      <alignment horizontal="left" wrapText="1"/>
    </xf>
    <xf numFmtId="0" fontId="0" fillId="14" borderId="24" xfId="0" applyFill="1" applyBorder="1" applyAlignment="1">
      <alignment horizontal="left" vertical="top" wrapText="1"/>
    </xf>
    <xf numFmtId="0" fontId="0" fillId="14" borderId="9" xfId="0" applyFill="1" applyBorder="1" applyAlignment="1">
      <alignment horizontal="left" vertical="top" wrapText="1"/>
    </xf>
    <xf numFmtId="0" fontId="0" fillId="14" borderId="25" xfId="0" applyFill="1" applyBorder="1" applyAlignment="1">
      <alignment horizontal="left" vertical="top" wrapText="1"/>
    </xf>
    <xf numFmtId="0" fontId="0" fillId="27" borderId="24" xfId="0" applyFill="1" applyBorder="1" applyAlignment="1">
      <alignment horizontal="left" vertical="top" wrapText="1"/>
    </xf>
    <xf numFmtId="0" fontId="0" fillId="27" borderId="9" xfId="0" applyFill="1" applyBorder="1" applyAlignment="1">
      <alignment horizontal="left" vertical="top" wrapText="1"/>
    </xf>
    <xf numFmtId="0" fontId="0" fillId="27" borderId="25" xfId="0" applyFill="1" applyBorder="1" applyAlignment="1">
      <alignment horizontal="left" vertical="top" wrapText="1"/>
    </xf>
    <xf numFmtId="0" fontId="0" fillId="16" borderId="24" xfId="0" applyFill="1" applyBorder="1" applyAlignment="1">
      <alignment horizontal="left" vertical="top" wrapText="1"/>
    </xf>
    <xf numFmtId="0" fontId="0" fillId="16" borderId="9" xfId="0" applyFill="1" applyBorder="1" applyAlignment="1">
      <alignment horizontal="left" vertical="top" wrapText="1"/>
    </xf>
    <xf numFmtId="0" fontId="0" fillId="16" borderId="25" xfId="0" applyFill="1" applyBorder="1" applyAlignment="1">
      <alignment horizontal="left" vertical="top" wrapText="1"/>
    </xf>
    <xf numFmtId="0" fontId="0" fillId="0" borderId="8" xfId="0" applyBorder="1" applyAlignment="1">
      <alignment horizontal="left"/>
    </xf>
    <xf numFmtId="0" fontId="0" fillId="0" borderId="23" xfId="0" applyBorder="1" applyAlignment="1">
      <alignment horizontal="left"/>
    </xf>
    <xf numFmtId="0" fontId="0" fillId="10" borderId="28" xfId="0" applyFill="1" applyBorder="1" applyAlignment="1">
      <alignment horizontal="left" wrapText="1"/>
    </xf>
    <xf numFmtId="0" fontId="0" fillId="10" borderId="29" xfId="0" applyFill="1" applyBorder="1" applyAlignment="1">
      <alignment horizontal="left" wrapText="1"/>
    </xf>
    <xf numFmtId="0" fontId="0" fillId="10" borderId="30" xfId="0" applyFill="1" applyBorder="1" applyAlignment="1">
      <alignment horizontal="left" wrapText="1"/>
    </xf>
    <xf numFmtId="0" fontId="0" fillId="0" borderId="26" xfId="0" applyBorder="1" applyAlignment="1">
      <alignment horizontal="left" vertical="center" wrapText="1"/>
    </xf>
    <xf numFmtId="0" fontId="0" fillId="0" borderId="11" xfId="0" applyBorder="1" applyAlignment="1">
      <alignment horizontal="left" vertical="center"/>
    </xf>
    <xf numFmtId="0" fontId="0" fillId="0" borderId="27" xfId="0" applyBorder="1" applyAlignment="1">
      <alignment horizontal="left" vertical="center"/>
    </xf>
    <xf numFmtId="0" fontId="2" fillId="0" borderId="24" xfId="0" applyFont="1" applyBorder="1" applyAlignment="1">
      <alignment horizontal="left" wrapText="1"/>
    </xf>
    <xf numFmtId="0" fontId="2" fillId="0" borderId="9" xfId="0" applyFont="1" applyBorder="1" applyAlignment="1">
      <alignment horizontal="left" wrapText="1"/>
    </xf>
    <xf numFmtId="0" fontId="2" fillId="0" borderId="25" xfId="0" applyFont="1" applyBorder="1" applyAlignment="1">
      <alignment horizontal="left" wrapText="1"/>
    </xf>
    <xf numFmtId="0" fontId="0" fillId="24" borderId="28" xfId="0" applyFill="1" applyBorder="1" applyAlignment="1">
      <alignment horizontal="left" wrapText="1"/>
    </xf>
    <xf numFmtId="0" fontId="0" fillId="24" borderId="29" xfId="0" applyFill="1" applyBorder="1" applyAlignment="1">
      <alignment horizontal="left" wrapText="1"/>
    </xf>
    <xf numFmtId="0" fontId="0" fillId="24" borderId="30" xfId="0" applyFill="1" applyBorder="1" applyAlignment="1">
      <alignment horizontal="left" wrapText="1"/>
    </xf>
    <xf numFmtId="0" fontId="0" fillId="6" borderId="28" xfId="0" applyFill="1" applyBorder="1" applyAlignment="1">
      <alignment horizontal="left" wrapText="1"/>
    </xf>
    <xf numFmtId="0" fontId="0" fillId="0" borderId="24" xfId="0" applyBorder="1" applyAlignment="1">
      <alignment horizontal="left" vertical="top" wrapText="1"/>
    </xf>
    <xf numFmtId="0" fontId="0" fillId="0" borderId="9" xfId="0" applyBorder="1" applyAlignment="1">
      <alignment horizontal="left" vertical="top" wrapText="1"/>
    </xf>
    <xf numFmtId="0" fontId="0" fillId="0" borderId="25" xfId="0" applyBorder="1" applyAlignment="1">
      <alignment horizontal="left" vertical="top" wrapText="1"/>
    </xf>
    <xf numFmtId="0" fontId="0" fillId="3" borderId="28" xfId="0" applyFill="1" applyBorder="1" applyAlignment="1">
      <alignment horizontal="left" wrapText="1"/>
    </xf>
    <xf numFmtId="0" fontId="0" fillId="3" borderId="29" xfId="0" applyFill="1" applyBorder="1" applyAlignment="1">
      <alignment horizontal="left" wrapText="1"/>
    </xf>
    <xf numFmtId="0" fontId="0" fillId="3" borderId="30" xfId="0" applyFill="1" applyBorder="1" applyAlignment="1">
      <alignment horizontal="left" wrapText="1"/>
    </xf>
    <xf numFmtId="0" fontId="4" fillId="0" borderId="11"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4" xfId="0" applyFont="1" applyBorder="1" applyAlignment="1">
      <alignment horizontal="center" vertical="center" wrapText="1"/>
    </xf>
    <xf numFmtId="0" fontId="7" fillId="10" borderId="9" xfId="0" applyFont="1" applyFill="1" applyBorder="1" applyAlignment="1">
      <alignment horizontal="left"/>
    </xf>
    <xf numFmtId="0" fontId="7" fillId="2" borderId="9" xfId="0" applyFont="1" applyFill="1" applyBorder="1" applyAlignment="1">
      <alignment horizontal="center"/>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0" xfId="0" applyFont="1" applyBorder="1" applyAlignment="1">
      <alignment horizontal="center"/>
    </xf>
    <xf numFmtId="0" fontId="7" fillId="0" borderId="9" xfId="0" applyFont="1" applyBorder="1" applyAlignment="1">
      <alignment horizontal="center"/>
    </xf>
    <xf numFmtId="0" fontId="0" fillId="2" borderId="9" xfId="0" applyFill="1" applyBorder="1" applyAlignment="1">
      <alignment horizontal="center" vertical="center" wrapText="1"/>
    </xf>
    <xf numFmtId="0" fontId="0" fillId="0" borderId="0" xfId="0" applyAlignment="1">
      <alignment horizontal="center" vertical="center"/>
    </xf>
    <xf numFmtId="0" fontId="0" fillId="3" borderId="11" xfId="0" applyFill="1" applyBorder="1" applyAlignment="1">
      <alignment horizontal="left" vertical="center" wrapText="1"/>
    </xf>
    <xf numFmtId="0" fontId="0" fillId="3" borderId="14" xfId="0" applyFill="1" applyBorder="1" applyAlignment="1">
      <alignment horizontal="left" vertical="center" wrapText="1"/>
    </xf>
    <xf numFmtId="0" fontId="6" fillId="2" borderId="9" xfId="1" applyFill="1" applyBorder="1" applyAlignment="1">
      <alignment horizontal="center" vertical="center"/>
    </xf>
    <xf numFmtId="0" fontId="0" fillId="0" borderId="11" xfId="0" applyBorder="1" applyAlignment="1">
      <alignment horizontal="center" vertical="center"/>
    </xf>
    <xf numFmtId="0" fontId="0" fillId="0" borderId="14" xfId="0" applyBorder="1" applyAlignment="1">
      <alignment horizontal="center" vertical="center"/>
    </xf>
    <xf numFmtId="2" fontId="0" fillId="0" borderId="11" xfId="0" applyNumberFormat="1" applyBorder="1" applyAlignment="1">
      <alignment horizontal="center" vertical="center"/>
    </xf>
    <xf numFmtId="2" fontId="0" fillId="0" borderId="14" xfId="0" applyNumberFormat="1" applyBorder="1" applyAlignment="1">
      <alignment horizontal="center" vertical="center"/>
    </xf>
    <xf numFmtId="0" fontId="7" fillId="2" borderId="9" xfId="0" applyFont="1" applyFill="1" applyBorder="1" applyAlignment="1">
      <alignment horizontal="center" vertical="center" wrapText="1"/>
    </xf>
    <xf numFmtId="0" fontId="2" fillId="28" borderId="16" xfId="0" applyFont="1" applyFill="1" applyBorder="1" applyAlignment="1">
      <alignment horizontal="center" vertical="center" wrapText="1"/>
    </xf>
    <xf numFmtId="0" fontId="2" fillId="28" borderId="37" xfId="0" applyFont="1" applyFill="1" applyBorder="1" applyAlignment="1">
      <alignment horizontal="center" vertical="center" wrapText="1"/>
    </xf>
    <xf numFmtId="0" fontId="2" fillId="28" borderId="12" xfId="0" applyFont="1" applyFill="1" applyBorder="1" applyAlignment="1">
      <alignment horizontal="center" vertical="center" wrapText="1"/>
    </xf>
    <xf numFmtId="0" fontId="13" fillId="2" borderId="9" xfId="1" applyFont="1" applyFill="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2" fillId="0" borderId="14" xfId="0" applyFont="1" applyBorder="1" applyAlignment="1">
      <alignment horizontal="center" vertical="center"/>
    </xf>
    <xf numFmtId="0" fontId="7" fillId="2" borderId="7" xfId="0" applyFont="1" applyFill="1" applyBorder="1" applyAlignment="1">
      <alignment horizontal="center" vertical="center"/>
    </xf>
    <xf numFmtId="0" fontId="7" fillId="2" borderId="10" xfId="0" applyFont="1" applyFill="1" applyBorder="1" applyAlignment="1">
      <alignment horizontal="center" vertical="center"/>
    </xf>
    <xf numFmtId="0" fontId="0" fillId="2" borderId="11" xfId="0" applyFill="1" applyBorder="1" applyAlignment="1">
      <alignment horizontal="center" vertical="center" wrapText="1"/>
    </xf>
    <xf numFmtId="0" fontId="0" fillId="2" borderId="3" xfId="0" applyFill="1" applyBorder="1" applyAlignment="1">
      <alignment horizontal="center" vertical="center" wrapText="1"/>
    </xf>
    <xf numFmtId="0" fontId="0" fillId="2" borderId="14" xfId="0" applyFill="1" applyBorder="1" applyAlignment="1">
      <alignment horizontal="center" vertical="center" wrapText="1"/>
    </xf>
    <xf numFmtId="0" fontId="17" fillId="0" borderId="42" xfId="0" applyFont="1" applyBorder="1" applyAlignment="1">
      <alignment horizontal="right" vertical="center" wrapText="1"/>
    </xf>
    <xf numFmtId="0" fontId="17" fillId="0" borderId="49" xfId="0" applyFont="1" applyBorder="1" applyAlignment="1">
      <alignment horizontal="right" vertical="center" wrapText="1"/>
    </xf>
    <xf numFmtId="0" fontId="16" fillId="0" borderId="48" xfId="0" applyFont="1" applyBorder="1" applyAlignment="1">
      <alignment horizontal="justify" vertical="center" wrapText="1"/>
    </xf>
    <xf numFmtId="0" fontId="16" fillId="0" borderId="47" xfId="0" applyFont="1" applyBorder="1" applyAlignment="1">
      <alignment horizontal="justify" vertical="center" wrapText="1"/>
    </xf>
    <xf numFmtId="0" fontId="0" fillId="19" borderId="24" xfId="0" applyFill="1" applyBorder="1" applyAlignment="1">
      <alignment horizontal="center"/>
    </xf>
    <xf numFmtId="0" fontId="0" fillId="19" borderId="9" xfId="0" applyFill="1" applyBorder="1" applyAlignment="1">
      <alignment horizontal="center"/>
    </xf>
    <xf numFmtId="0" fontId="0" fillId="19" borderId="25" xfId="0" applyFill="1" applyBorder="1" applyAlignment="1">
      <alignment horizontal="center"/>
    </xf>
    <xf numFmtId="0" fontId="3" fillId="2" borderId="26"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6"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2" borderId="25" xfId="0" applyFont="1" applyFill="1" applyBorder="1" applyAlignment="1">
      <alignment horizontal="center" vertical="top"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24"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25"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15" borderId="22" xfId="0" applyFill="1" applyBorder="1" applyAlignment="1">
      <alignment horizontal="center"/>
    </xf>
    <xf numFmtId="0" fontId="0" fillId="15" borderId="8" xfId="0" applyFill="1" applyBorder="1" applyAlignment="1">
      <alignment horizontal="center"/>
    </xf>
    <xf numFmtId="0" fontId="0" fillId="15" borderId="10" xfId="0" applyFill="1" applyBorder="1" applyAlignment="1">
      <alignment horizontal="center"/>
    </xf>
    <xf numFmtId="0" fontId="3" fillId="2" borderId="24" xfId="0" applyFont="1" applyFill="1" applyBorder="1" applyAlignment="1">
      <alignment horizontal="center" vertical="center"/>
    </xf>
    <xf numFmtId="0" fontId="0" fillId="14" borderId="24" xfId="0" applyFill="1" applyBorder="1" applyAlignment="1">
      <alignment horizontal="center"/>
    </xf>
    <xf numFmtId="0" fontId="0" fillId="14" borderId="9" xfId="0" applyFill="1" applyBorder="1" applyAlignment="1">
      <alignment horizontal="center"/>
    </xf>
    <xf numFmtId="0" fontId="0" fillId="14" borderId="25" xfId="0" applyFill="1" applyBorder="1" applyAlignment="1">
      <alignment horizontal="center"/>
    </xf>
    <xf numFmtId="0" fontId="3" fillId="19" borderId="36" xfId="0" applyFont="1" applyFill="1" applyBorder="1" applyAlignment="1">
      <alignment horizontal="center" vertical="top" wrapText="1"/>
    </xf>
    <xf numFmtId="0" fontId="3" fillId="19" borderId="31" xfId="0" applyFont="1" applyFill="1" applyBorder="1" applyAlignment="1">
      <alignment horizontal="center" vertical="top" wrapText="1"/>
    </xf>
    <xf numFmtId="0" fontId="3" fillId="19" borderId="32" xfId="0" applyFont="1" applyFill="1" applyBorder="1" applyAlignment="1">
      <alignment horizontal="center" vertical="top" wrapText="1"/>
    </xf>
    <xf numFmtId="0" fontId="3" fillId="19" borderId="1" xfId="0" applyFont="1" applyFill="1" applyBorder="1" applyAlignment="1">
      <alignment horizontal="center" vertical="top" wrapText="1"/>
    </xf>
    <xf numFmtId="0" fontId="3" fillId="19" borderId="9" xfId="0" applyFont="1" applyFill="1" applyBorder="1" applyAlignment="1">
      <alignment horizontal="center" vertical="top" wrapText="1"/>
    </xf>
    <xf numFmtId="0" fontId="3" fillId="19" borderId="24" xfId="0" applyFont="1" applyFill="1" applyBorder="1" applyAlignment="1">
      <alignment horizontal="center" vertical="top" wrapText="1"/>
    </xf>
    <xf numFmtId="0" fontId="3" fillId="19" borderId="25" xfId="0" applyFont="1" applyFill="1" applyBorder="1" applyAlignment="1">
      <alignment horizontal="center" vertical="top" wrapText="1"/>
    </xf>
    <xf numFmtId="0" fontId="3" fillId="17" borderId="36" xfId="0" applyFont="1" applyFill="1" applyBorder="1" applyAlignment="1">
      <alignment horizontal="center" vertical="top" wrapText="1"/>
    </xf>
    <xf numFmtId="0" fontId="3" fillId="17" borderId="31" xfId="0" applyFont="1" applyFill="1" applyBorder="1" applyAlignment="1">
      <alignment horizontal="center" vertical="top" wrapText="1"/>
    </xf>
    <xf numFmtId="0" fontId="3" fillId="17" borderId="32" xfId="0" applyFont="1" applyFill="1" applyBorder="1" applyAlignment="1">
      <alignment horizontal="center" vertical="top" wrapText="1"/>
    </xf>
    <xf numFmtId="0" fontId="3" fillId="17" borderId="1" xfId="0" applyFont="1" applyFill="1" applyBorder="1" applyAlignment="1">
      <alignment horizontal="center" vertical="top" wrapText="1"/>
    </xf>
    <xf numFmtId="0" fontId="3" fillId="17" borderId="9" xfId="0" applyFont="1" applyFill="1" applyBorder="1" applyAlignment="1">
      <alignment horizontal="center" vertical="top" wrapText="1"/>
    </xf>
    <xf numFmtId="0" fontId="3" fillId="17" borderId="24" xfId="0" applyFont="1" applyFill="1" applyBorder="1" applyAlignment="1">
      <alignment horizontal="center" vertical="top" wrapText="1"/>
    </xf>
    <xf numFmtId="0" fontId="3" fillId="17" borderId="25" xfId="0" applyFont="1" applyFill="1" applyBorder="1" applyAlignment="1">
      <alignment horizontal="center" vertical="top" wrapText="1"/>
    </xf>
    <xf numFmtId="0" fontId="0" fillId="17" borderId="24" xfId="0" applyFill="1" applyBorder="1" applyAlignment="1">
      <alignment horizontal="center"/>
    </xf>
    <xf numFmtId="0" fontId="0" fillId="17" borderId="9" xfId="0" applyFill="1" applyBorder="1" applyAlignment="1">
      <alignment horizontal="center"/>
    </xf>
    <xf numFmtId="0" fontId="0" fillId="17" borderId="25" xfId="0" applyFill="1" applyBorder="1" applyAlignment="1">
      <alignment horizontal="center"/>
    </xf>
    <xf numFmtId="0" fontId="3" fillId="24" borderId="24" xfId="0" applyFont="1" applyFill="1" applyBorder="1" applyAlignment="1">
      <alignment horizontal="center" vertical="center"/>
    </xf>
    <xf numFmtId="0" fontId="0" fillId="13" borderId="22" xfId="0" applyFill="1" applyBorder="1" applyAlignment="1">
      <alignment horizontal="center"/>
    </xf>
    <xf numFmtId="0" fontId="0" fillId="13" borderId="8" xfId="0" applyFill="1" applyBorder="1" applyAlignment="1">
      <alignment horizontal="center"/>
    </xf>
    <xf numFmtId="0" fontId="0" fillId="13" borderId="10" xfId="0" applyFill="1" applyBorder="1" applyAlignment="1">
      <alignment horizontal="center"/>
    </xf>
    <xf numFmtId="0" fontId="3" fillId="24" borderId="24" xfId="0" applyFont="1" applyFill="1" applyBorder="1" applyAlignment="1">
      <alignment horizontal="center" vertical="center" wrapText="1"/>
    </xf>
    <xf numFmtId="0" fontId="3" fillId="24" borderId="9" xfId="0" applyFont="1" applyFill="1" applyBorder="1" applyAlignment="1">
      <alignment horizontal="center" vertical="center" wrapText="1"/>
    </xf>
    <xf numFmtId="0" fontId="3" fillId="24" borderId="25" xfId="0" applyFont="1" applyFill="1" applyBorder="1" applyAlignment="1">
      <alignment horizontal="center" vertical="center" wrapText="1"/>
    </xf>
    <xf numFmtId="0" fontId="3" fillId="24" borderId="1" xfId="0" applyFont="1" applyFill="1" applyBorder="1" applyAlignment="1">
      <alignment horizontal="center" vertical="center" wrapText="1"/>
    </xf>
    <xf numFmtId="0" fontId="3" fillId="24" borderId="9" xfId="0" applyFont="1" applyFill="1" applyBorder="1" applyAlignment="1">
      <alignment horizontal="center" vertical="center"/>
    </xf>
    <xf numFmtId="0" fontId="3" fillId="24" borderId="14" xfId="0" applyFont="1" applyFill="1" applyBorder="1" applyAlignment="1">
      <alignment horizontal="center" vertical="center"/>
    </xf>
    <xf numFmtId="0" fontId="3" fillId="24" borderId="10" xfId="0" applyFont="1" applyFill="1" applyBorder="1" applyAlignment="1">
      <alignment horizontal="center" vertical="center" wrapText="1"/>
    </xf>
    <xf numFmtId="0" fontId="3" fillId="2" borderId="14" xfId="0" applyFont="1" applyFill="1" applyBorder="1" applyAlignment="1">
      <alignment horizontal="center" vertical="center"/>
    </xf>
    <xf numFmtId="0" fontId="0" fillId="15" borderId="24" xfId="0" applyFill="1" applyBorder="1" applyAlignment="1">
      <alignment horizontal="center"/>
    </xf>
    <xf numFmtId="0" fontId="0" fillId="15" borderId="9" xfId="0" applyFill="1" applyBorder="1" applyAlignment="1">
      <alignment horizontal="center"/>
    </xf>
    <xf numFmtId="0" fontId="0" fillId="15" borderId="25" xfId="0" applyFill="1" applyBorder="1" applyAlignment="1">
      <alignment horizontal="center"/>
    </xf>
    <xf numFmtId="0" fontId="3" fillId="16" borderId="9" xfId="0" applyFont="1" applyFill="1" applyBorder="1" applyAlignment="1">
      <alignment horizontal="center" vertical="center" wrapText="1"/>
    </xf>
    <xf numFmtId="0" fontId="3" fillId="16" borderId="10" xfId="0" applyFont="1" applyFill="1" applyBorder="1" applyAlignment="1">
      <alignment horizontal="center" vertical="center" wrapText="1"/>
    </xf>
    <xf numFmtId="0" fontId="3" fillId="16" borderId="9" xfId="0" applyFont="1" applyFill="1" applyBorder="1" applyAlignment="1">
      <alignment horizontal="center" vertical="center"/>
    </xf>
    <xf numFmtId="0" fontId="3" fillId="16" borderId="14" xfId="0" applyFont="1" applyFill="1" applyBorder="1" applyAlignment="1">
      <alignment horizontal="center" vertical="center"/>
    </xf>
    <xf numFmtId="0" fontId="0" fillId="9" borderId="17" xfId="0" applyFill="1" applyBorder="1" applyAlignment="1">
      <alignment horizontal="center"/>
    </xf>
    <xf numFmtId="0" fontId="0" fillId="9" borderId="18" xfId="0" applyFill="1" applyBorder="1" applyAlignment="1">
      <alignment horizontal="center"/>
    </xf>
    <xf numFmtId="0" fontId="0" fillId="9" borderId="19" xfId="0" applyFill="1" applyBorder="1" applyAlignment="1">
      <alignment horizontal="center"/>
    </xf>
    <xf numFmtId="0" fontId="0" fillId="9" borderId="0" xfId="0" applyFill="1" applyAlignment="1">
      <alignment horizontal="center"/>
    </xf>
    <xf numFmtId="0" fontId="3" fillId="0" borderId="41" xfId="0" applyFont="1" applyBorder="1" applyAlignment="1">
      <alignment horizontal="center" vertical="center" wrapText="1"/>
    </xf>
    <xf numFmtId="0" fontId="3" fillId="17" borderId="24" xfId="0" quotePrefix="1" applyFont="1" applyFill="1" applyBorder="1" applyAlignment="1">
      <alignment horizontal="center" wrapText="1"/>
    </xf>
    <xf numFmtId="0" fontId="3" fillId="17" borderId="9" xfId="0" applyFont="1" applyFill="1" applyBorder="1" applyAlignment="1">
      <alignment horizontal="center" wrapText="1"/>
    </xf>
    <xf numFmtId="0" fontId="7" fillId="24" borderId="7" xfId="0" applyFont="1" applyFill="1" applyBorder="1" applyAlignment="1">
      <alignment horizontal="center"/>
    </xf>
    <xf numFmtId="0" fontId="7" fillId="24" borderId="8" xfId="0" applyFont="1" applyFill="1" applyBorder="1" applyAlignment="1">
      <alignment horizontal="center"/>
    </xf>
    <xf numFmtId="0" fontId="7" fillId="24" borderId="10" xfId="0" applyFont="1" applyFill="1" applyBorder="1" applyAlignment="1">
      <alignment horizontal="center"/>
    </xf>
    <xf numFmtId="0" fontId="3" fillId="24" borderId="7" xfId="0" applyFont="1" applyFill="1" applyBorder="1" applyAlignment="1">
      <alignment horizontal="center" vertical="top" wrapText="1"/>
    </xf>
    <xf numFmtId="0" fontId="3" fillId="24" borderId="8" xfId="0" applyFont="1" applyFill="1" applyBorder="1" applyAlignment="1">
      <alignment horizontal="center" vertical="top" wrapText="1"/>
    </xf>
    <xf numFmtId="0" fontId="3" fillId="24" borderId="10" xfId="0" applyFont="1" applyFill="1" applyBorder="1" applyAlignment="1">
      <alignment horizontal="center" vertical="top" wrapText="1"/>
    </xf>
    <xf numFmtId="0" fontId="3" fillId="24" borderId="11" xfId="0" applyFont="1" applyFill="1" applyBorder="1" applyAlignment="1">
      <alignment horizontal="center" vertical="center" wrapText="1"/>
    </xf>
    <xf numFmtId="0" fontId="3" fillId="24" borderId="14" xfId="0" applyFont="1" applyFill="1" applyBorder="1" applyAlignment="1">
      <alignment horizontal="center" vertical="center" wrapText="1"/>
    </xf>
    <xf numFmtId="0" fontId="3" fillId="24" borderId="7" xfId="0" applyFont="1" applyFill="1" applyBorder="1" applyAlignment="1">
      <alignment horizontal="center" vertical="center" wrapText="1"/>
    </xf>
    <xf numFmtId="0" fontId="3" fillId="24" borderId="8" xfId="0" applyFont="1" applyFill="1" applyBorder="1" applyAlignment="1">
      <alignment horizontal="center" vertical="center" wrapText="1"/>
    </xf>
    <xf numFmtId="0" fontId="3" fillId="24" borderId="24" xfId="0" applyFont="1" applyFill="1" applyBorder="1" applyAlignment="1">
      <alignment horizontal="center" vertical="top" wrapText="1"/>
    </xf>
    <xf numFmtId="0" fontId="3" fillId="24" borderId="9" xfId="0" applyFont="1" applyFill="1" applyBorder="1" applyAlignment="1">
      <alignment horizontal="center" vertical="top" wrapText="1"/>
    </xf>
    <xf numFmtId="0" fontId="3" fillId="16" borderId="11" xfId="0" applyFont="1" applyFill="1" applyBorder="1" applyAlignment="1">
      <alignment horizontal="center" vertical="center" wrapText="1"/>
    </xf>
    <xf numFmtId="0" fontId="3" fillId="16" borderId="14" xfId="0" applyFont="1" applyFill="1" applyBorder="1" applyAlignment="1">
      <alignment horizontal="center" vertical="center" wrapText="1"/>
    </xf>
    <xf numFmtId="0" fontId="3" fillId="16" borderId="7" xfId="0" applyFont="1" applyFill="1" applyBorder="1" applyAlignment="1">
      <alignment horizontal="center" vertical="center" wrapText="1"/>
    </xf>
    <xf numFmtId="0" fontId="3" fillId="16" borderId="8" xfId="0" applyFont="1" applyFill="1" applyBorder="1" applyAlignment="1">
      <alignment horizontal="center" vertical="center" wrapText="1"/>
    </xf>
    <xf numFmtId="0" fontId="7" fillId="16" borderId="7" xfId="0" applyFont="1" applyFill="1" applyBorder="1" applyAlignment="1">
      <alignment horizontal="center"/>
    </xf>
    <xf numFmtId="0" fontId="7" fillId="16" borderId="8" xfId="0" applyFont="1" applyFill="1" applyBorder="1" applyAlignment="1">
      <alignment horizontal="center"/>
    </xf>
    <xf numFmtId="0" fontId="7" fillId="16" borderId="10" xfId="0" applyFont="1" applyFill="1" applyBorder="1" applyAlignment="1">
      <alignment horizontal="center"/>
    </xf>
    <xf numFmtId="0" fontId="3" fillId="16" borderId="24" xfId="0" applyFont="1" applyFill="1" applyBorder="1" applyAlignment="1">
      <alignment horizontal="center" vertical="center" wrapText="1"/>
    </xf>
    <xf numFmtId="0" fontId="3" fillId="16" borderId="7" xfId="0" applyFont="1" applyFill="1" applyBorder="1" applyAlignment="1">
      <alignment horizontal="center" vertical="top" wrapText="1"/>
    </xf>
    <xf numFmtId="0" fontId="3" fillId="16" borderId="8" xfId="0" applyFont="1" applyFill="1" applyBorder="1" applyAlignment="1">
      <alignment horizontal="center" vertical="top" wrapText="1"/>
    </xf>
    <xf numFmtId="0" fontId="3" fillId="16" borderId="10" xfId="0" applyFont="1" applyFill="1" applyBorder="1" applyAlignment="1">
      <alignment horizontal="center" vertical="top" wrapText="1"/>
    </xf>
    <xf numFmtId="0" fontId="3" fillId="16" borderId="24" xfId="0" applyFont="1" applyFill="1" applyBorder="1" applyAlignment="1">
      <alignment horizontal="center" vertical="top" wrapText="1"/>
    </xf>
    <xf numFmtId="0" fontId="3" fillId="16" borderId="9" xfId="0" applyFont="1" applyFill="1" applyBorder="1" applyAlignment="1">
      <alignment horizontal="center" vertical="top" wrapText="1"/>
    </xf>
    <xf numFmtId="0" fontId="7" fillId="2" borderId="7" xfId="0" applyFont="1" applyFill="1" applyBorder="1" applyAlignment="1">
      <alignment horizontal="center"/>
    </xf>
    <xf numFmtId="0" fontId="7" fillId="2" borderId="8" xfId="0" applyFont="1" applyFill="1" applyBorder="1" applyAlignment="1">
      <alignment horizontal="center"/>
    </xf>
    <xf numFmtId="0" fontId="7" fillId="2" borderId="10" xfId="0" applyFont="1" applyFill="1" applyBorder="1" applyAlignment="1">
      <alignment horizontal="center"/>
    </xf>
    <xf numFmtId="0" fontId="3" fillId="31" borderId="24" xfId="0" quotePrefix="1" applyFont="1" applyFill="1" applyBorder="1" applyAlignment="1">
      <alignment horizontal="center" wrapText="1"/>
    </xf>
    <xf numFmtId="0" fontId="3" fillId="31" borderId="9" xfId="0" applyFont="1" applyFill="1" applyBorder="1" applyAlignment="1">
      <alignment horizontal="center" wrapText="1"/>
    </xf>
    <xf numFmtId="0" fontId="3" fillId="19" borderId="24" xfId="0" quotePrefix="1" applyFont="1" applyFill="1" applyBorder="1" applyAlignment="1">
      <alignment horizontal="center" wrapText="1"/>
    </xf>
    <xf numFmtId="0" fontId="3" fillId="19" borderId="9" xfId="0" applyFont="1" applyFill="1" applyBorder="1" applyAlignment="1">
      <alignment horizontal="center" wrapText="1"/>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11"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6" borderId="22"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26" xfId="0" applyFont="1" applyFill="1" applyBorder="1" applyAlignment="1">
      <alignment horizontal="center" vertical="center" textRotation="90" wrapText="1"/>
    </xf>
    <xf numFmtId="0" fontId="3" fillId="6" borderId="33" xfId="0" applyFont="1" applyFill="1" applyBorder="1" applyAlignment="1">
      <alignment horizontal="center" vertical="center" textRotation="90" wrapText="1"/>
    </xf>
    <xf numFmtId="0" fontId="3" fillId="6" borderId="34" xfId="0" applyFont="1" applyFill="1" applyBorder="1" applyAlignment="1">
      <alignment horizontal="center" vertical="center" textRotation="90" wrapText="1"/>
    </xf>
    <xf numFmtId="0" fontId="3" fillId="2" borderId="3" xfId="0" applyFont="1" applyFill="1" applyBorder="1" applyAlignment="1">
      <alignment horizontal="center" vertical="center" wrapText="1"/>
    </xf>
    <xf numFmtId="0" fontId="3" fillId="2" borderId="26" xfId="0" applyFont="1" applyFill="1" applyBorder="1" applyAlignment="1">
      <alignment horizontal="center" vertical="center" textRotation="90" wrapText="1"/>
    </xf>
    <xf numFmtId="0" fontId="3" fillId="2" borderId="33" xfId="0" applyFont="1" applyFill="1" applyBorder="1" applyAlignment="1">
      <alignment horizontal="center" vertical="center" textRotation="90" wrapText="1"/>
    </xf>
    <xf numFmtId="0" fontId="3" fillId="2" borderId="34" xfId="0" applyFont="1" applyFill="1" applyBorder="1" applyAlignment="1">
      <alignment horizontal="center" vertical="center" textRotation="90" wrapText="1"/>
    </xf>
    <xf numFmtId="0" fontId="3" fillId="6" borderId="8" xfId="0" applyFont="1" applyFill="1" applyBorder="1" applyAlignment="1">
      <alignment horizontal="center" vertical="center" wrapText="1"/>
    </xf>
    <xf numFmtId="0" fontId="3" fillId="24" borderId="22" xfId="0" applyFont="1" applyFill="1" applyBorder="1" applyAlignment="1">
      <alignment horizontal="center" vertical="center" wrapText="1"/>
    </xf>
    <xf numFmtId="0" fontId="3" fillId="24" borderId="3" xfId="0" applyFont="1" applyFill="1" applyBorder="1" applyAlignment="1">
      <alignment horizontal="center" vertical="center" wrapText="1"/>
    </xf>
    <xf numFmtId="0" fontId="3" fillId="24" borderId="26" xfId="0" applyFont="1" applyFill="1" applyBorder="1" applyAlignment="1">
      <alignment horizontal="center" vertical="center" textRotation="90" wrapText="1"/>
    </xf>
    <xf numFmtId="0" fontId="3" fillId="24" borderId="33" xfId="0" applyFont="1" applyFill="1" applyBorder="1" applyAlignment="1">
      <alignment horizontal="center" vertical="center" textRotation="90" wrapText="1"/>
    </xf>
    <xf numFmtId="0" fontId="3" fillId="24" borderId="34" xfId="0" applyFont="1" applyFill="1" applyBorder="1" applyAlignment="1">
      <alignment horizontal="center" vertical="center" textRotation="90" wrapText="1"/>
    </xf>
    <xf numFmtId="0" fontId="7" fillId="0" borderId="11" xfId="0" applyFont="1" applyBorder="1" applyAlignment="1">
      <alignment horizontal="center" vertical="center"/>
    </xf>
    <xf numFmtId="0" fontId="7" fillId="0" borderId="14" xfId="0" applyFont="1" applyBorder="1" applyAlignment="1">
      <alignment horizontal="center" vertical="center"/>
    </xf>
    <xf numFmtId="0" fontId="0" fillId="0" borderId="9" xfId="0"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vertical="center"/>
    </xf>
    <xf numFmtId="0" fontId="0" fillId="0" borderId="11"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7" fillId="0" borderId="9"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left" vertical="center"/>
    </xf>
    <xf numFmtId="0" fontId="0" fillId="0" borderId="3" xfId="0" applyBorder="1" applyAlignment="1">
      <alignment horizontal="left" vertical="center"/>
    </xf>
    <xf numFmtId="0" fontId="0" fillId="0" borderId="14" xfId="0" applyBorder="1" applyAlignment="1">
      <alignment horizontal="left" vertical="center"/>
    </xf>
    <xf numFmtId="0" fontId="0" fillId="0" borderId="11" xfId="0" applyBorder="1" applyAlignment="1">
      <alignment horizontal="left" vertical="center" wrapText="1"/>
    </xf>
    <xf numFmtId="0" fontId="0" fillId="0" borderId="14" xfId="0" applyBorder="1" applyAlignment="1">
      <alignment horizontal="left"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7" fillId="0" borderId="0" xfId="0" applyFont="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10" xfId="0" applyBorder="1" applyAlignment="1">
      <alignment horizontal="center"/>
    </xf>
    <xf numFmtId="0" fontId="0" fillId="0" borderId="41" xfId="0" applyBorder="1" applyAlignment="1">
      <alignment horizontal="center"/>
    </xf>
    <xf numFmtId="0" fontId="0" fillId="10" borderId="0" xfId="0" applyFill="1" applyAlignment="1">
      <alignment horizontal="center" vertical="center"/>
    </xf>
    <xf numFmtId="0" fontId="17" fillId="0" borderId="0" xfId="0" applyFont="1" applyAlignment="1">
      <alignment horizontal="center" vertical="center"/>
    </xf>
    <xf numFmtId="0" fontId="17" fillId="0" borderId="0" xfId="0" applyFont="1" applyAlignment="1">
      <alignment horizontal="center" vertical="center" wrapText="1"/>
    </xf>
    <xf numFmtId="0" fontId="23" fillId="0" borderId="0" xfId="0" applyFont="1" applyAlignment="1">
      <alignment horizontal="center" vertical="center"/>
    </xf>
    <xf numFmtId="0" fontId="24" fillId="0" borderId="0" xfId="0" applyFont="1" applyAlignment="1">
      <alignment horizontal="center" vertical="center"/>
    </xf>
    <xf numFmtId="0" fontId="23" fillId="0" borderId="0" xfId="0" applyFont="1" applyAlignment="1">
      <alignment horizontal="center"/>
    </xf>
    <xf numFmtId="0" fontId="23" fillId="0" borderId="0" xfId="0" applyFont="1" applyAlignment="1">
      <alignment horizontal="center" vertical="center" wrapText="1"/>
    </xf>
    <xf numFmtId="0" fontId="0" fillId="0" borderId="0" xfId="0" applyAlignment="1">
      <alignment horizontal="center"/>
    </xf>
    <xf numFmtId="0" fontId="16"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vertical="center"/>
    </xf>
    <xf numFmtId="0" fontId="0" fillId="14" borderId="0" xfId="0" applyFill="1" applyAlignment="1">
      <alignment horizontal="center" vertical="center"/>
    </xf>
    <xf numFmtId="0" fontId="0" fillId="30" borderId="0" xfId="0" applyFill="1" applyAlignment="1">
      <alignment horizontal="center" vertical="center"/>
    </xf>
    <xf numFmtId="0" fontId="0" fillId="0" borderId="41" xfId="0" applyBorder="1" applyAlignment="1">
      <alignment horizontal="center" vertical="center"/>
    </xf>
    <xf numFmtId="0" fontId="0" fillId="10" borderId="9" xfId="0" applyFill="1" applyBorder="1" applyAlignment="1">
      <alignment horizontal="center"/>
    </xf>
    <xf numFmtId="0" fontId="7" fillId="32" borderId="0" xfId="0" applyFont="1" applyFill="1" applyAlignment="1">
      <alignment horizontal="center" vertical="center"/>
    </xf>
    <xf numFmtId="0" fontId="0" fillId="30" borderId="0" xfId="0" applyFill="1" applyAlignment="1">
      <alignment horizontal="left" vertical="center" wrapText="1"/>
    </xf>
    <xf numFmtId="0" fontId="7" fillId="19" borderId="0" xfId="0" applyFont="1" applyFill="1" applyAlignment="1">
      <alignment horizontal="center" vertical="center"/>
    </xf>
    <xf numFmtId="0" fontId="7" fillId="17" borderId="0" xfId="0" applyFont="1" applyFill="1" applyAlignment="1">
      <alignment horizontal="center" vertical="center"/>
    </xf>
    <xf numFmtId="0" fontId="27" fillId="14" borderId="0" xfId="0" applyFont="1" applyFill="1" applyAlignment="1">
      <alignment horizontal="center" vertical="center"/>
    </xf>
    <xf numFmtId="0" fontId="26" fillId="14" borderId="0" xfId="0" applyFont="1" applyFill="1" applyAlignment="1">
      <alignment horizontal="center" vertical="center"/>
    </xf>
    <xf numFmtId="0" fontId="0" fillId="10" borderId="0" xfId="0" applyFill="1" applyAlignment="1">
      <alignment horizontal="center"/>
    </xf>
    <xf numFmtId="0" fontId="7" fillId="32" borderId="0" xfId="0" applyFont="1" applyFill="1" applyAlignment="1">
      <alignment horizontal="center"/>
    </xf>
    <xf numFmtId="0" fontId="0" fillId="14" borderId="0" xfId="0" applyFill="1" applyAlignment="1">
      <alignment horizontal="center"/>
    </xf>
    <xf numFmtId="0" fontId="7" fillId="34" borderId="0" xfId="0" applyFont="1" applyFill="1" applyAlignment="1">
      <alignment horizontal="center" vertical="center"/>
    </xf>
    <xf numFmtId="0" fontId="0" fillId="0" borderId="15" xfId="0" applyBorder="1" applyAlignment="1">
      <alignment horizontal="center"/>
    </xf>
  </cellXfs>
  <cellStyles count="6">
    <cellStyle name="Hiperlink" xfId="4" builtinId="8"/>
    <cellStyle name="Normal" xfId="0" builtinId="0"/>
    <cellStyle name="Normal 4" xfId="5" xr:uid="{3D9E703D-79AE-4906-A352-1CD3F8556DBC}"/>
    <cellStyle name="Ruim" xfId="2" builtinId="27"/>
    <cellStyle name="Saída" xfId="1" builtinId="21"/>
    <cellStyle name="Texto Explicativo" xfId="3" builtinId="53"/>
  </cellStyles>
  <dxfs count="9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6" tint="0.59996337778862885"/>
        </patternFill>
      </fill>
    </dxf>
    <dxf>
      <fill>
        <patternFill>
          <bgColor theme="6" tint="0.59996337778862885"/>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6" tint="0.59996337778862885"/>
        </patternFill>
      </fill>
    </dxf>
    <dxf>
      <fill>
        <patternFill>
          <bgColor theme="6" tint="0.59996337778862885"/>
        </patternFill>
      </fill>
    </dxf>
    <dxf>
      <fill>
        <patternFill>
          <bgColor theme="6" tint="0.59996337778862885"/>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AA2F0"/>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714375</xdr:colOff>
      <xdr:row>0</xdr:row>
      <xdr:rowOff>66676</xdr:rowOff>
    </xdr:from>
    <xdr:to>
      <xdr:col>5</xdr:col>
      <xdr:colOff>3276600</xdr:colOff>
      <xdr:row>8</xdr:row>
      <xdr:rowOff>52096</xdr:rowOff>
    </xdr:to>
    <xdr:pic>
      <xdr:nvPicPr>
        <xdr:cNvPr id="3" name="Imagem 2">
          <a:extLst>
            <a:ext uri="{FF2B5EF4-FFF2-40B4-BE49-F238E27FC236}">
              <a16:creationId xmlns:a16="http://schemas.microsoft.com/office/drawing/2014/main" id="{9098D2A2-66FF-4429-A8BB-F35AC388EF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66676"/>
          <a:ext cx="2562225" cy="1509420"/>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31797-15D4-421C-9E4D-4E5DD1F2125E}">
  <sheetPr>
    <pageSetUpPr fitToPage="1"/>
  </sheetPr>
  <dimension ref="A1:F36"/>
  <sheetViews>
    <sheetView tabSelected="1" view="pageBreakPreview" zoomScale="85" zoomScaleNormal="100" zoomScaleSheetLayoutView="85" workbookViewId="0">
      <selection activeCell="N20" sqref="N20"/>
    </sheetView>
  </sheetViews>
  <sheetFormatPr defaultRowHeight="15"/>
  <cols>
    <col min="1" max="1" width="5.5703125" style="385" customWidth="1"/>
    <col min="6" max="6" width="98.28515625" customWidth="1"/>
  </cols>
  <sheetData>
    <row r="1" spans="2:6">
      <c r="B1" s="117"/>
      <c r="C1" s="118"/>
      <c r="D1" s="118"/>
      <c r="E1" s="118"/>
      <c r="F1" s="119"/>
    </row>
    <row r="2" spans="2:6">
      <c r="B2" s="120"/>
      <c r="F2" s="121"/>
    </row>
    <row r="3" spans="2:6">
      <c r="B3" s="120"/>
      <c r="F3" s="121"/>
    </row>
    <row r="4" spans="2:6">
      <c r="B4" s="120"/>
      <c r="F4" s="121"/>
    </row>
    <row r="5" spans="2:6">
      <c r="B5" s="120"/>
      <c r="F5" s="121"/>
    </row>
    <row r="6" spans="2:6">
      <c r="B6" s="120"/>
      <c r="F6" s="121"/>
    </row>
    <row r="7" spans="2:6">
      <c r="B7" s="120"/>
      <c r="F7" s="121"/>
    </row>
    <row r="8" spans="2:6">
      <c r="B8" s="120"/>
      <c r="F8" s="121"/>
    </row>
    <row r="9" spans="2:6" ht="16.5">
      <c r="B9" s="570" t="s">
        <v>825</v>
      </c>
      <c r="C9" s="571"/>
      <c r="D9" s="571"/>
      <c r="E9" s="571"/>
      <c r="F9" s="572"/>
    </row>
    <row r="10" spans="2:6">
      <c r="B10" s="120"/>
      <c r="F10" s="121"/>
    </row>
    <row r="11" spans="2:6">
      <c r="B11" s="122" t="s">
        <v>861</v>
      </c>
      <c r="F11" s="121"/>
    </row>
    <row r="12" spans="2:6">
      <c r="B12" s="122" t="s">
        <v>2517</v>
      </c>
      <c r="F12" s="121"/>
    </row>
    <row r="13" spans="2:6">
      <c r="B13" s="122" t="s">
        <v>828</v>
      </c>
      <c r="F13" s="121"/>
    </row>
    <row r="14" spans="2:6">
      <c r="B14" s="122"/>
      <c r="F14" s="121"/>
    </row>
    <row r="15" spans="2:6">
      <c r="B15" s="120"/>
      <c r="F15" s="121"/>
    </row>
    <row r="16" spans="2:6">
      <c r="B16" s="573" t="s">
        <v>826</v>
      </c>
      <c r="C16" s="574"/>
      <c r="D16" s="574"/>
      <c r="E16" s="574"/>
      <c r="F16" s="575"/>
    </row>
    <row r="17" spans="1:6">
      <c r="A17" s="385">
        <v>1</v>
      </c>
      <c r="B17" s="582" t="s">
        <v>830</v>
      </c>
      <c r="C17" s="583"/>
      <c r="D17" s="583"/>
      <c r="E17" s="583"/>
      <c r="F17" s="584"/>
    </row>
    <row r="18" spans="1:6">
      <c r="A18" s="385">
        <v>2</v>
      </c>
      <c r="B18" s="576" t="s">
        <v>859</v>
      </c>
      <c r="C18" s="577"/>
      <c r="D18" s="577"/>
      <c r="E18" s="577"/>
      <c r="F18" s="578"/>
    </row>
    <row r="19" spans="1:6">
      <c r="A19" s="385">
        <v>3</v>
      </c>
      <c r="B19" s="585" t="s">
        <v>860</v>
      </c>
      <c r="C19" s="586"/>
      <c r="D19" s="586"/>
      <c r="E19" s="586"/>
      <c r="F19" s="587"/>
    </row>
    <row r="20" spans="1:6">
      <c r="A20" s="385">
        <v>4</v>
      </c>
      <c r="B20" s="579" t="s">
        <v>832</v>
      </c>
      <c r="C20" s="580"/>
      <c r="D20" s="580"/>
      <c r="E20" s="580"/>
      <c r="F20" s="581"/>
    </row>
    <row r="21" spans="1:6" ht="31.5" customHeight="1">
      <c r="A21" s="385">
        <v>5</v>
      </c>
      <c r="B21" s="579" t="s">
        <v>829</v>
      </c>
      <c r="C21" s="580"/>
      <c r="D21" s="580"/>
      <c r="E21" s="580"/>
      <c r="F21" s="581"/>
    </row>
    <row r="22" spans="1:6" ht="60.75" customHeight="1">
      <c r="A22" s="385">
        <v>6</v>
      </c>
      <c r="B22" s="582" t="s">
        <v>831</v>
      </c>
      <c r="C22" s="600"/>
      <c r="D22" s="600"/>
      <c r="E22" s="600"/>
      <c r="F22" s="601"/>
    </row>
    <row r="23" spans="1:6">
      <c r="A23" s="385">
        <v>7</v>
      </c>
      <c r="B23" s="582" t="s">
        <v>838</v>
      </c>
      <c r="C23" s="583"/>
      <c r="D23" s="583"/>
      <c r="E23" s="583"/>
      <c r="F23" s="584"/>
    </row>
    <row r="24" spans="1:6" ht="75" customHeight="1">
      <c r="A24" s="385">
        <v>8</v>
      </c>
      <c r="B24" s="591" t="s">
        <v>2031</v>
      </c>
      <c r="C24" s="592"/>
      <c r="D24" s="592"/>
      <c r="E24" s="592"/>
      <c r="F24" s="593"/>
    </row>
    <row r="25" spans="1:6" ht="36" customHeight="1">
      <c r="A25" s="385">
        <v>9</v>
      </c>
      <c r="B25" s="594" t="s">
        <v>2032</v>
      </c>
      <c r="C25" s="595"/>
      <c r="D25" s="595"/>
      <c r="E25" s="595"/>
      <c r="F25" s="596"/>
    </row>
    <row r="26" spans="1:6" ht="50.25" customHeight="1">
      <c r="A26" s="385">
        <v>10</v>
      </c>
      <c r="B26" s="597" t="s">
        <v>2030</v>
      </c>
      <c r="C26" s="598"/>
      <c r="D26" s="598"/>
      <c r="E26" s="598"/>
      <c r="F26" s="599"/>
    </row>
    <row r="27" spans="1:6" ht="76.5" customHeight="1">
      <c r="A27" s="385">
        <v>11</v>
      </c>
      <c r="B27" s="608" t="s">
        <v>912</v>
      </c>
      <c r="C27" s="609"/>
      <c r="D27" s="609"/>
      <c r="E27" s="609"/>
      <c r="F27" s="610"/>
    </row>
    <row r="28" spans="1:6" ht="58.5" customHeight="1">
      <c r="A28" s="385">
        <v>12</v>
      </c>
      <c r="B28" s="615" t="s">
        <v>862</v>
      </c>
      <c r="C28" s="616"/>
      <c r="D28" s="616"/>
      <c r="E28" s="616"/>
      <c r="F28" s="617"/>
    </row>
    <row r="29" spans="1:6" ht="111.75" customHeight="1">
      <c r="A29" s="385">
        <v>13</v>
      </c>
      <c r="B29" s="605" t="s">
        <v>914</v>
      </c>
      <c r="C29" s="606"/>
      <c r="D29" s="606"/>
      <c r="E29" s="606"/>
      <c r="F29" s="607"/>
    </row>
    <row r="30" spans="1:6" ht="45" customHeight="1" thickBot="1">
      <c r="A30" s="385">
        <v>14</v>
      </c>
      <c r="B30" s="602" t="s">
        <v>915</v>
      </c>
      <c r="C30" s="603"/>
      <c r="D30" s="603"/>
      <c r="E30" s="603"/>
      <c r="F30" s="604"/>
    </row>
    <row r="31" spans="1:6" ht="94.5" customHeight="1" thickBot="1">
      <c r="A31" s="385">
        <v>15</v>
      </c>
      <c r="B31" s="602" t="s">
        <v>1962</v>
      </c>
      <c r="C31" s="603"/>
      <c r="D31" s="603"/>
      <c r="E31" s="603"/>
      <c r="F31" s="604"/>
    </row>
    <row r="32" spans="1:6" ht="65.25" customHeight="1" thickBot="1">
      <c r="A32" s="385">
        <v>16</v>
      </c>
      <c r="B32" s="618" t="s">
        <v>1995</v>
      </c>
      <c r="C32" s="619"/>
      <c r="D32" s="619"/>
      <c r="E32" s="619"/>
      <c r="F32" s="620"/>
    </row>
    <row r="33" spans="1:6" ht="78" customHeight="1" thickBot="1">
      <c r="A33" s="385">
        <v>17</v>
      </c>
      <c r="B33" s="614" t="s">
        <v>2515</v>
      </c>
      <c r="C33" s="589"/>
      <c r="D33" s="589"/>
      <c r="E33" s="589"/>
      <c r="F33" s="590"/>
    </row>
    <row r="34" spans="1:6" ht="33.75" customHeight="1" thickBot="1">
      <c r="A34" s="385">
        <v>18</v>
      </c>
      <c r="B34" s="611" t="s">
        <v>2516</v>
      </c>
      <c r="C34" s="612"/>
      <c r="D34" s="612"/>
      <c r="E34" s="612"/>
      <c r="F34" s="613"/>
    </row>
    <row r="35" spans="1:6" ht="30" customHeight="1" thickBot="1">
      <c r="A35" s="385">
        <v>19</v>
      </c>
      <c r="B35" s="588" t="s">
        <v>2522</v>
      </c>
      <c r="C35" s="589"/>
      <c r="D35" s="589"/>
      <c r="E35" s="589"/>
      <c r="F35" s="590"/>
    </row>
    <row r="36" spans="1:6" ht="36" customHeight="1" thickBot="1">
      <c r="A36" s="385">
        <v>20</v>
      </c>
      <c r="B36" s="588" t="s">
        <v>2525</v>
      </c>
      <c r="C36" s="589"/>
      <c r="D36" s="589"/>
      <c r="E36" s="589"/>
      <c r="F36" s="590"/>
    </row>
  </sheetData>
  <mergeCells count="22">
    <mergeCell ref="B36:F36"/>
    <mergeCell ref="B35:F35"/>
    <mergeCell ref="B24:F24"/>
    <mergeCell ref="B25:F25"/>
    <mergeCell ref="B26:F26"/>
    <mergeCell ref="B22:F22"/>
    <mergeCell ref="B23:F23"/>
    <mergeCell ref="B31:F31"/>
    <mergeCell ref="B30:F30"/>
    <mergeCell ref="B29:F29"/>
    <mergeCell ref="B27:F27"/>
    <mergeCell ref="B34:F34"/>
    <mergeCell ref="B33:F33"/>
    <mergeCell ref="B28:F28"/>
    <mergeCell ref="B32:F32"/>
    <mergeCell ref="B9:F9"/>
    <mergeCell ref="B16:F16"/>
    <mergeCell ref="B18:F18"/>
    <mergeCell ref="B20:F20"/>
    <mergeCell ref="B21:F21"/>
    <mergeCell ref="B17:F17"/>
    <mergeCell ref="B19:F19"/>
  </mergeCells>
  <pageMargins left="0.98425196850393704" right="1.43" top="0.59055118110236227" bottom="0.43" header="0.31496062992125984" footer="0.17"/>
  <pageSetup paperSize="9" scale="84" fitToHeight="0" orientation="landscape" r:id="rId1"/>
  <headerFooter>
    <oddHeader>&amp;C&amp;F&amp;R&amp;A</oddHeader>
    <oddFooter>&amp;LÚLTIMA ATUALIZAÇÃO: 30/05/2025&amp;CUFCA/DINFRA - Pág &amp;P/&amp;N&amp;RSUPERVISÃO DO LEVANTAMENTO: Arq. LOUISE BARBOSA</oddFooter>
  </headerFooter>
  <rowBreaks count="1" manualBreakCount="1">
    <brk id="26" max="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1AD7-2328-4652-BBAC-B7B8D4D023C4}">
  <sheetPr>
    <pageSetUpPr fitToPage="1"/>
  </sheetPr>
  <dimension ref="A1:O21"/>
  <sheetViews>
    <sheetView view="pageBreakPreview" zoomScale="85" zoomScaleNormal="100" zoomScaleSheetLayoutView="85" workbookViewId="0">
      <selection activeCell="Q50" sqref="Q50"/>
    </sheetView>
  </sheetViews>
  <sheetFormatPr defaultRowHeight="15"/>
  <cols>
    <col min="1" max="1" width="30.5703125" customWidth="1"/>
    <col min="2" max="2" width="24.85546875" style="3" bestFit="1" customWidth="1"/>
    <col min="3" max="3" width="20.140625" style="3" customWidth="1"/>
    <col min="4" max="4" width="14.7109375" style="3" customWidth="1"/>
    <col min="5" max="5" width="12.28515625" style="3" bestFit="1" customWidth="1"/>
    <col min="6" max="6" width="22.140625" style="3" bestFit="1" customWidth="1"/>
    <col min="7" max="7" width="8.7109375" style="3" bestFit="1" customWidth="1"/>
    <col min="8" max="8" width="15.28515625" style="3" bestFit="1" customWidth="1"/>
    <col min="9" max="9" width="13.42578125" style="3" customWidth="1"/>
    <col min="15" max="15" width="8.140625" customWidth="1"/>
    <col min="16" max="16" width="7.42578125" customWidth="1"/>
    <col min="17" max="17" width="9.7109375" customWidth="1"/>
    <col min="18" max="18" width="12.28515625" customWidth="1"/>
    <col min="19" max="19" width="17" customWidth="1"/>
    <col min="20" max="20" width="12.28515625" customWidth="1"/>
    <col min="21" max="21" width="24.5703125" customWidth="1"/>
    <col min="23" max="23" width="10" customWidth="1"/>
  </cols>
  <sheetData>
    <row r="1" spans="1:15">
      <c r="A1" s="664" t="s">
        <v>837</v>
      </c>
      <c r="B1" s="665"/>
      <c r="C1" s="665"/>
      <c r="D1" s="665"/>
      <c r="E1" s="666"/>
      <c r="F1" s="667"/>
      <c r="G1" s="667"/>
      <c r="H1" s="668"/>
      <c r="I1" s="667"/>
    </row>
    <row r="2" spans="1:15">
      <c r="A2" s="669" t="s">
        <v>603</v>
      </c>
      <c r="B2" s="668"/>
      <c r="C2" s="668"/>
      <c r="D2" s="668"/>
      <c r="E2" s="670"/>
      <c r="F2" s="667"/>
      <c r="G2" s="667"/>
      <c r="H2" s="668"/>
      <c r="I2" s="667"/>
    </row>
    <row r="3" spans="1:15">
      <c r="A3" s="659" t="s">
        <v>1904</v>
      </c>
      <c r="B3" s="660"/>
      <c r="C3" s="660"/>
      <c r="D3" s="660"/>
      <c r="E3" s="661"/>
      <c r="F3" s="660"/>
      <c r="G3" s="660"/>
      <c r="H3" s="660"/>
      <c r="I3" s="660"/>
    </row>
    <row r="4" spans="1:15">
      <c r="A4" s="671" t="s">
        <v>70</v>
      </c>
      <c r="B4" s="672" t="s">
        <v>285</v>
      </c>
      <c r="C4" s="672"/>
      <c r="D4" s="672"/>
      <c r="E4" s="673"/>
      <c r="F4" s="672"/>
      <c r="G4" s="672"/>
      <c r="H4" s="31"/>
      <c r="I4" s="674" t="s">
        <v>550</v>
      </c>
    </row>
    <row r="5" spans="1:15" ht="54.75" customHeight="1">
      <c r="A5" s="671"/>
      <c r="B5" s="31" t="s">
        <v>551</v>
      </c>
      <c r="C5" s="31" t="s">
        <v>833</v>
      </c>
      <c r="D5" s="31" t="s">
        <v>1920</v>
      </c>
      <c r="E5" s="31" t="s">
        <v>553</v>
      </c>
      <c r="F5" s="31" t="s">
        <v>1905</v>
      </c>
      <c r="G5" s="20" t="s">
        <v>555</v>
      </c>
      <c r="H5" s="31" t="s">
        <v>631</v>
      </c>
      <c r="I5" s="674"/>
      <c r="K5" t="s">
        <v>1908</v>
      </c>
    </row>
    <row r="6" spans="1:15">
      <c r="A6" s="140" t="s">
        <v>2</v>
      </c>
      <c r="B6" s="15">
        <f>SUMIFS('UFCA - BA'!J118:J134,'UFCA - BA'!F118:F134,Criterios!A4,
'UFCA - BA'!L118:L134,Criterios!A19)
+SUMIFS('UFCA - BA'!J118:J134,'UFCA - BA'!F118:F134,Criterios!A5,
'UFCA - BA'!L118:L134,Criterios!A19)
+SUMIFS('UFCA - BA'!J118:J134,'UFCA - BA'!F118:F134,Criterios!A6,
'UFCA - BA'!L118:L134,Criterios!A19)
+SUMIFS('UFCA - BA'!J118:J134,'UFCA - BA'!F118:F134,Criterios!A7,
'UFCA - BA'!L118:L134,Criterios!A19)
+SUMIFS('UFCA - BA'!J118:J134,'UFCA - BA'!F118:F134,Criterios!A8,
'UFCA - BA'!L118:L134,Criterios!A19)
+SUMIFS('UFCA - BA'!J118:J134,'UFCA - BA'!F118:F134,Criterios!A9,
'UFCA - BA'!L118:L134,Criterios!A19)
+SUMIFS('UFCA - BA'!J118:J134,'UFCA - BA'!F118:F134,Criterios!A10,
'UFCA - BA'!L118:L134,Criterios!A19)
+SUMIFS('UFCA - BA'!J118:J134,'UFCA - BA'!F118:F134,Criterios!A11,
'UFCA - BA'!L118:L134,Criterios!A19)
+SUMIFS('UFCA - BA'!J118:J134,'UFCA - BA'!F118:F134,Criterios!A12,
'UFCA - BA'!L118:L134,Criterios!A19)
+SUMIFS('UFCA - BA'!J118:J134,'UFCA - BA'!F118:F134,Criterios!A13,
'UFCA - BA'!L118:L134,Criterios!A19)
+SUMIFS('UFCA - BA'!J118:J134,'UFCA - BA'!F118:F134,Criterios!A14,
'UFCA - BA'!L118:L134,Criterios!A19)
+SUMIFS('UFCA - BA'!J118:J134,'UFCA - BA'!F118:F134,Criterios!A15,
'UFCA - BA'!L118:L134,Criterios!A19)
+SUMIFS('UFCA - BA'!J118:J134,'UFCA - BA'!F118:F134,Criterios!A4,
'UFCA - BA'!L118:L134,Criterios!A20)
+SUMIFS('UFCA - BA'!J118:J134,'UFCA - BA'!F118:F134,Criterios!A5,
'UFCA - BA'!L118:L134,Criterios!A20)
+SUMIFS('UFCA - BA'!J118:J134,'UFCA - BA'!F118:F134,Criterios!A6,
'UFCA - BA'!L118:L134,Criterios!A20)
+SUMIFS('UFCA - BA'!J118:J134,'UFCA - BA'!F118:F134,Criterios!A7,
'UFCA - BA'!L118:L134,Criterios!A20)
+SUMIFS('UFCA - BA'!J118:J134,'UFCA - BA'!F118:F134,Criterios!A8,
'UFCA - BA'!L118:L134,Criterios!A20)
+SUMIFS('UFCA - BA'!J118:J134,'UFCA - BA'!F118:F134,Criterios!A9,
'UFCA - BA'!L118:L134,Criterios!A20)
+SUMIFS('UFCA - BA'!J118:J134,'UFCA - BA'!F118:F134,Criterios!A10,
'UFCA - BA'!L118:L134,Criterios!A20)
+SUMIFS('UFCA - BA'!J118:J134,'UFCA - BA'!F118:F134,Criterios!A11,
'UFCA - BA'!L118:L134,Criterios!A20)
+SUMIFS('UFCA - BA'!J118:J134,'UFCA - BA'!F118:F134,Criterios!A12,
'UFCA - BA'!L118:L134,Criterios!A20)
+SUMIFS('UFCA - BA'!J118:J134,'UFCA - BA'!F118:F134,Criterios!A13,
'UFCA - BA'!L118:L134,Criterios!A20)
+SUMIFS('UFCA - BA'!J118:J134,'UFCA - BA'!F118:F134,Criterios!A14,
'UFCA - BA'!L118:L134,Criterios!A20)
+SUMIFS('UFCA - BA'!J118:J134,'UFCA - BA'!F118:F134,Criterios!A15,
'UFCA - BA'!L118:L134,Criterios!A20)</f>
        <v>10.18</v>
      </c>
      <c r="C6" s="15" t="s">
        <v>100</v>
      </c>
      <c r="D6" s="15">
        <f>SUMIF('UFCA - BA'!F118:F134,Criterios!C4,'UFCA - BA'!J118:J134)
+SUMIF('UFCA - BA'!F118:F134,Criterios!C5,'UFCA - BA'!J118:J134)</f>
        <v>102.04</v>
      </c>
      <c r="E6" s="15" t="s">
        <v>100</v>
      </c>
      <c r="F6" s="15">
        <f>SUMIF('UFCA - BA'!F118:F134,Criterios!E4,'UFCA - BA'!J118:J134)</f>
        <v>64.91</v>
      </c>
      <c r="G6" s="15">
        <f>SUMIF('UFCA - BA'!F118:F134,Criterios!F4,'UFCA - BA'!J118:J134)</f>
        <v>10.36</v>
      </c>
      <c r="H6" s="15">
        <f>SUMIF('UFCA - BA'!F118:F134,Criterios!G4,'UFCA - BA'!J118:J134)</f>
        <v>16.100000000000001</v>
      </c>
      <c r="I6" s="15">
        <f>SUM(B6:H6)</f>
        <v>203.59</v>
      </c>
      <c r="K6">
        <f>SUMIF('UFCA - BA'!$C$4:$C$229,'TOTAL - BA'!A6,'UFCA - BA'!$J$4:$J$229)</f>
        <v>203.59</v>
      </c>
      <c r="L6" s="2">
        <f>K6-I6</f>
        <v>0</v>
      </c>
      <c r="M6" s="307" t="s">
        <v>1922</v>
      </c>
    </row>
    <row r="7" spans="1:15">
      <c r="A7" s="138" t="s">
        <v>612</v>
      </c>
      <c r="B7" s="15">
        <f>SUMIFS('UFCA - BA'!J4:J117,'UFCA - BA'!F4:F117,Criterios!A4,
'UFCA - BA'!L4:L117,Criterios!A19)
+SUMIFS('UFCA - BA'!J4:J117,'UFCA - BA'!F4:F117,Criterios!A5,
'UFCA - BA'!L4:L117,Criterios!A19)
+SUMIFS('UFCA - BA'!J4:J117,'UFCA - BA'!F4:F117,Criterios!A6,
'UFCA - BA'!L4:L117,Criterios!A19)
+SUMIFS('UFCA - BA'!J4:J117,'UFCA - BA'!F4:F117,Criterios!A7,
'UFCA - BA'!L4:L117,Criterios!A19)
+SUMIFS('UFCA - BA'!J4:J117,'UFCA - BA'!F4:F117,Criterios!A8,
'UFCA - BA'!L4:L117,Criterios!A19)
+SUMIFS('UFCA - BA'!J4:J117,'UFCA - BA'!F4:F117,Criterios!A9,
'UFCA - BA'!L4:L117,Criterios!A19)
+SUMIFS('UFCA - BA'!J4:J117,'UFCA - BA'!F4:F117,Criterios!A10,
'UFCA - BA'!L4:L117,Criterios!A19)
+SUMIFS('UFCA - BA'!J4:J117,'UFCA - BA'!F4:F117,Criterios!A11,
'UFCA - BA'!L4:L117,Criterios!A19)
+SUMIFS('UFCA - BA'!J4:J117,'UFCA - BA'!F4:F117,Criterios!A12,
'UFCA - BA'!L4:L117,Criterios!A19)
+SUMIFS('UFCA - BA'!J4:J117,'UFCA - BA'!F4:F117,Criterios!A13,
'UFCA - BA'!L4:L117,Criterios!A19)
+SUMIFS('UFCA - BA'!J4:J117,'UFCA - BA'!F4:F117,Criterios!A14,
'UFCA - BA'!L4:L117,Criterios!A19)
+SUMIFS('UFCA - BA'!J4:J117,'UFCA - BA'!F4:F117,Criterios!A15,
'UFCA - BA'!L4:L117,Criterios!A19)
+SUMIFS('UFCA - BA'!J4:J117,'UFCA - BA'!F4:F117,Criterios!A4,
'UFCA - BA'!L4:L117,Criterios!A20)
+SUMIFS('UFCA - BA'!J4:J117,'UFCA - BA'!F4:F117,Criterios!A5,
'UFCA - BA'!L4:L117,Criterios!A20)
+SUMIFS('UFCA - BA'!J4:J117,'UFCA - BA'!F4:F117,Criterios!A6,
'UFCA - BA'!L4:L117,Criterios!A20)
+SUMIFS('UFCA - BA'!J4:J117,'UFCA - BA'!F4:F117,Criterios!A7,
'UFCA - BA'!L4:L117,Criterios!A20)
+SUMIFS('UFCA - BA'!J4:J117,'UFCA - BA'!F4:F117,Criterios!A8,
'UFCA - BA'!L4:L117,Criterios!A20)
+SUMIFS('UFCA - BA'!J4:J117,'UFCA - BA'!F4:F117,Criterios!A9,
'UFCA - BA'!L4:L117,Criterios!A20)
+SUMIFS('UFCA - BA'!J4:J117,'UFCA - BA'!F4:F117,Criterios!A10,
'UFCA - BA'!L4:L117,Criterios!A20)
+SUMIFS('UFCA - BA'!J4:J117,'UFCA - BA'!F4:F117,Criterios!A11,
'UFCA - BA'!L4:L117,Criterios!A20)
+SUMIFS('UFCA - BA'!J4:J117,'UFCA - BA'!F4:F117,Criterios!A12,
'UFCA - BA'!L4:L117,Criterios!A20)
+SUMIFS('UFCA - BA'!J4:J117,'UFCA - BA'!F4:F117,Criterios!A13,
'UFCA - BA'!L4:L117,Criterios!A20)
+SUMIFS('UFCA - BA'!J4:J117,'UFCA - BA'!F4:F117,Criterios!A14,
'UFCA - BA'!L4:L117,Criterios!A20)
+SUMIFS('UFCA - BA'!J4:J117,'UFCA - BA'!F4:F117,Criterios!A15,
'UFCA - BA'!L4:L117,Criterios!A20)</f>
        <v>523.75</v>
      </c>
      <c r="C7" s="15">
        <f>SUMIFS('UFCA - BA'!J4:J117,'UFCA - BA'!F4:F117,Criterios!B4,
'UFCA - BA'!L4:L117,Criterios!B19)
+SUMIFS('UFCA - BA'!J4:J117,'UFCA - BA'!F4:F117,Criterios!B5,
'UFCA - BA'!L4:L117,Criterios!B19)
+SUMIFS('UFCA - BA'!J4:J117,'UFCA - BA'!F4:F117,Criterios!B6,
'UFCA - BA'!L4:L117,Criterios!B19)
+SUMIFS('UFCA - BA'!J4:J117,'UFCA - BA'!F4:F117,Criterios!B7,
'UFCA - BA'!L4:L117,Criterios!B19)
+SUMIFS('UFCA - BA'!J4:J117,'UFCA - BA'!F4:F117,Criterios!B8,
'UFCA - BA'!L4:L117,Criterios!B19)
+SUMIFS('UFCA - BA'!J4:J117,'UFCA - BA'!F4:F117,Criterios!B4,
'UFCA - BA'!L4:L117,Criterios!B21)
+SUMIFS('UFCA - BA'!J4:J117,'UFCA - BA'!F4:F117,Criterios!B5,
'UFCA - BA'!L4:L117,Criterios!B21)
+SUMIFS('UFCA - BA'!J4:J117,'UFCA - BA'!F4:F117,Criterios!B6,
'UFCA - BA'!L4:L117,Criterios!B21)
+SUMIFS('UFCA - BA'!J4:J117,'UFCA - BA'!F4:F117,Criterios!B7,
'UFCA - BA'!L4:L117,Criterios!B21)
+SUMIFS('UFCA - BA'!J4:J117,'UFCA - BA'!F4:F117,Criterios!B8,
'UFCA - BA'!L4:L117,Criterios!B21)
+SUMIFS('UFCA - BA'!J4:J117,'UFCA - BA'!F4:F117,Criterios!A4,
'UFCA - BA'!L4:L117,Criterios!B19)
+SUMIFS('UFCA - BA'!J4:J117,'UFCA - BA'!F4:F117,Criterios!A5,
'UFCA - BA'!L4:L117,Criterios!B19)
+SUMIFS('UFCA - BA'!J4:J117,'UFCA - BA'!F4:F117,Criterios!A6,
'UFCA - BA'!L4:L117,Criterios!B19)
+SUMIFS('UFCA - BA'!J4:J117,'UFCA - BA'!F4:F117,Criterios!A8,
'UFCA - BA'!L4:L117,Criterios!B19)
+SUMIFS('UFCA - BA'!J4:J117,'UFCA - BA'!F4:F117,Criterios!A11,
'UFCA - BA'!L4:L117,Criterios!B19)
+SUMIFS('UFCA - BA'!J4:J117,'UFCA - BA'!F4:F117,Criterios!A12,
'UFCA - BA'!L4:L117,Criterios!B19)
+SUMIFS('UFCA - BA'!J4:J117,'UFCA - BA'!F4:F117,Criterios!A13,
'UFCA - BA'!L4:L117,Criterios!B19)
+SUMIFS('UFCA - BA'!J4:J117,'UFCA - BA'!F4:F117,Criterios!A14,
'UFCA - BA'!L4:L117,Criterios!B19)
+SUMIFS('UFCA - BA'!J4:J117,'UFCA - BA'!F4:F117,Criterios!A4,
'UFCA - BA'!L4:L117,Criterios!B21)
+SUMIFS('UFCA - BA'!J4:J117,'UFCA - BA'!F4:F117,Criterios!A5,
'UFCA - BA'!L4:L117,Criterios!B21)
+SUMIFS('UFCA - BA'!J4:J117,'UFCA - BA'!F4:F117,Criterios!A6,
'UFCA - BA'!L4:L117,Criterios!B21)
+SUMIFS('UFCA - BA'!J4:J117,'UFCA - BA'!F4:F117,Criterios!A8,
'UFCA - BA'!L4:L117,Criterios!B21)
+SUMIFS('UFCA - BA'!J4:J117,'UFCA - BA'!F4:F117,Criterios!A11,
'UFCA - BA'!L4:L117,Criterios!B21)
+SUMIFS('UFCA - BA'!J4:J117,'UFCA - BA'!F4:F117,Criterios!A12,
'UFCA - BA'!L4:L117,Criterios!B21)
+SUMIFS('UFCA - BA'!J4:J117,'UFCA - BA'!F4:F117,Criterios!A13,
'UFCA - BA'!L4:L117,Criterios!B21)
+SUMIFS('UFCA - BA'!J4:J117,'UFCA - BA'!F4:F117,Criterios!A14,
'UFCA - BA'!L4:L117,Criterios!B21)</f>
        <v>2239.7900000000004</v>
      </c>
      <c r="D7" s="15">
        <f>SUMIFS('UFCA - BA'!J4:J117,'UFCA - BA'!F4:F117,Criterios!C4)</f>
        <v>0</v>
      </c>
      <c r="E7" s="15">
        <f>SUMIF('UFCA - BA'!F4:F117,Criterios!D4,'UFCA - BA'!J4:J117)
+SUMIF('UFCA - BA'!F4:F117,Criterios!D5,'UFCA - BA'!J4:J117)</f>
        <v>19.309999999999999</v>
      </c>
      <c r="F7" s="15">
        <f>SUMIF('UFCA - BA'!F4:F117,Criterios!E4,'UFCA - BA'!J4:J117)
+SUMIF('UFCA - BA'!F4:F117,Criterios!E5,'UFCA - BA'!J4:J117)
+SUMIF('UFCA - BA'!F4:F117,Criterios!E6,'UFCA - BA'!J4:J117)
+SUMIF('UFCA - BA'!F4:F117,Criterios!E7,'UFCA - BA'!J4:J117)
+SUMIF('UFCA - BA'!F4:F117,Criterios!E8,'UFCA - BA'!J4:J117)
+SUMIF('UFCA - BA'!F4:F117,Criterios!E9,'UFCA - BA'!J4:J117)</f>
        <v>1163.9100000000001</v>
      </c>
      <c r="G7" s="15">
        <f>SUMIF('UFCA - BA'!F4:F117,Criterios!F4,'UFCA - BA'!J4:J117)</f>
        <v>182.07</v>
      </c>
      <c r="H7" s="15">
        <f>SUMIF('UFCA - BA'!F4:F117,Criterios!G4,'UFCA - BA'!J4:J117)</f>
        <v>577.62</v>
      </c>
      <c r="I7" s="15">
        <f t="shared" ref="I7:I9" si="0">SUM(B7:H7)</f>
        <v>4706.45</v>
      </c>
      <c r="K7">
        <f>SUMIF('UFCA - BA'!$C$4:$C$229,'TOTAL - BA'!A7,'UFCA - BA'!$J$4:$J$229)</f>
        <v>4714.5199999999986</v>
      </c>
      <c r="L7" s="2">
        <f t="shared" ref="L7:L9" si="1">K7-I7</f>
        <v>8.0699999999987995</v>
      </c>
      <c r="M7" s="307" t="s">
        <v>1923</v>
      </c>
      <c r="O7" t="s">
        <v>1925</v>
      </c>
    </row>
    <row r="8" spans="1:15">
      <c r="A8" s="138" t="s">
        <v>632</v>
      </c>
      <c r="B8" s="15">
        <f>SUMIFS('UFCA - BA'!J135:J142,'UFCA - BA'!F135:F142,Criterios!A4,
'UFCA - BA'!L135:L142,Criterios!A19)
+SUMIFS('UFCA - BA'!J135:J142,'UFCA - BA'!F135:F142,Criterios!A5,
'UFCA - BA'!L135:L142,Criterios!A19)
+SUMIFS('UFCA - BA'!J135:J142,'UFCA - BA'!F135:F142,Criterios!A6,
'UFCA - BA'!L135:L142,Criterios!A19)
+SUMIFS('UFCA - BA'!J135:J142,'UFCA - BA'!F135:F142,Criterios!A7,
'UFCA - BA'!L135:L142,Criterios!A19)
+SUMIFS('UFCA - BA'!J135:J142,'UFCA - BA'!F135:F142,Criterios!A8,
'UFCA - BA'!L135:L142,Criterios!A19)
+SUMIFS('UFCA - BA'!J135:J142,'UFCA - BA'!F135:F142,Criterios!A9,
'UFCA - BA'!L135:L142,Criterios!A19)
+SUMIFS('UFCA - BA'!J135:J142,'UFCA - BA'!F135:F142,Criterios!A10,
'UFCA - BA'!L135:L142,Criterios!A19)
+SUMIFS('UFCA - BA'!J135:J142,'UFCA - BA'!F135:F142,Criterios!A11,
'UFCA - BA'!L135:L142,Criterios!A19)
+SUMIFS('UFCA - BA'!J135:J142,'UFCA - BA'!F135:F142,Criterios!A12,
'UFCA - BA'!L135:L142,Criterios!A19)
+SUMIFS('UFCA - BA'!J135:J142,'UFCA - BA'!F135:F142,Criterios!A13,
'UFCA - BA'!L135:L142,Criterios!A19)
+SUMIFS('UFCA - BA'!J135:J142,'UFCA - BA'!F135:F142,Criterios!A14,
'UFCA - BA'!L135:L142,Criterios!A19)
+SUMIFS('UFCA - BA'!J135:J142,'UFCA - BA'!F135:F142,Criterios!A15,
'UFCA - BA'!L135:L142,Criterios!A19)
+SUMIFS('UFCA - BA'!J135:J142,'UFCA - BA'!F135:F142,Criterios!A4,
'UFCA - BA'!L135:L142,Criterios!A20)
+SUMIFS('UFCA - BA'!J135:J142,'UFCA - BA'!F135:F142,Criterios!A5,
'UFCA - BA'!L135:L142,Criterios!A20)
+SUMIFS('UFCA - BA'!J135:J142,'UFCA - BA'!F135:F142,Criterios!A6,
'UFCA - BA'!L135:L142,Criterios!A20)
+SUMIFS('UFCA - BA'!J135:J142,'UFCA - BA'!F135:F142,Criterios!A7,
'UFCA - BA'!L135:L142,Criterios!A20)
+SUMIFS('UFCA - BA'!J135:J142,'UFCA - BA'!F135:F142,Criterios!A8,
'UFCA - BA'!L135:L142,Criterios!A20)
+SUMIFS('UFCA - BA'!J135:J142,'UFCA - BA'!F135:F142,Criterios!A9,
'UFCA - BA'!L135:L142,Criterios!A20)
+SUMIFS('UFCA - BA'!J135:J142,'UFCA - BA'!F135:F142,Criterios!A10,
'UFCA - BA'!L135:L142,Criterios!A20)
+SUMIFS('UFCA - BA'!J135:J142,'UFCA - BA'!F135:F142,Criterios!A11,
'UFCA - BA'!L135:L142,Criterios!A20)
+SUMIFS('UFCA - BA'!J135:J142,'UFCA - BA'!F135:F142,Criterios!A12,
'UFCA - BA'!L135:L142,Criterios!A20)
+SUMIFS('UFCA - BA'!J135:J142,'UFCA - BA'!F135:F142,Criterios!A13,
'UFCA - BA'!L135:L142,Criterios!A20)
+SUMIFS('UFCA - BA'!J135:J142,'UFCA - BA'!F135:F142,Criterios!A14,
'UFCA - BA'!L135:L142,Criterios!A20)
+SUMIFS('UFCA - BA'!J135:J142,'UFCA - BA'!F135:F142,Criterios!A15,
'UFCA - BA'!L135:L142,Criterios!A20)</f>
        <v>0</v>
      </c>
      <c r="C8" s="15">
        <f>SUMIFS('UFCA - BA'!J135:J142,'UFCA - BA'!F135:F142,Criterios!B4,
'UFCA - BA'!L135:L142,Criterios!B19)
+SUMIFS('UFCA - BA'!J135:J142,'UFCA - BA'!F135:F142,Criterios!B5,
'UFCA - BA'!L135:L142,Criterios!B19)
+SUMIFS('UFCA - BA'!J135:J142,'UFCA - BA'!F135:F142,Criterios!B6,
'UFCA - BA'!L135:L142,Criterios!B19)
+SUMIFS('UFCA - BA'!J135:J142,'UFCA - BA'!F135:F142,Criterios!B7,
'UFCA - BA'!L135:L142,Criterios!B19)
+SUMIFS('UFCA - BA'!J135:J142,'UFCA - BA'!F135:F142,Criterios!B8,
'UFCA - BA'!L135:L142,Criterios!B19)
+SUMIFS('UFCA - BA'!J135:J142,'UFCA - BA'!F135:F142,Criterios!B4,
'UFCA - BA'!L135:L142,Criterios!B21)
+SUMIFS('UFCA - BA'!J135:J142,'UFCA - BA'!F135:F142,Criterios!B5,
'UFCA - BA'!L135:L142,Criterios!B21)
+SUMIFS('UFCA - BA'!J135:J142,'UFCA - BA'!F135:F142,Criterios!B6,
'UFCA - BA'!L135:L142,Criterios!B21)
+SUMIFS('UFCA - BA'!J135:J142,'UFCA - BA'!F135:F142,Criterios!B7,
'UFCA - BA'!L135:L142,Criterios!B21)
+SUMIFS('UFCA - BA'!J135:J142,'UFCA - BA'!F135:F142,Criterios!B8,
'UFCA - BA'!L135:L142,Criterios!B21)
+SUMIFS('UFCA - BA'!J135:J142,'UFCA - BA'!F135:F142,Criterios!A4,
'UFCA - BA'!L135:L142,Criterios!B19)
+SUMIFS('UFCA - BA'!J135:J142,'UFCA - BA'!F135:F142,Criterios!A5,
'UFCA - BA'!L135:L142,Criterios!B19)
+SUMIFS('UFCA - BA'!J135:J142,'UFCA - BA'!F135:F142,Criterios!A6,
'UFCA - BA'!L135:L142,Criterios!B19)
+SUMIFS('UFCA - BA'!J135:J142,'UFCA - BA'!F135:F142,Criterios!A8,
'UFCA - BA'!L135:L142,Criterios!B19)
+SUMIFS('UFCA - BA'!J135:J142,'UFCA - BA'!F135:F142,Criterios!A11,
'UFCA - BA'!L135:L142,Criterios!B19)
+SUMIFS('UFCA - BA'!J135:J142,'UFCA - BA'!F135:F142,Criterios!A12,
'UFCA - BA'!L135:L142,Criterios!B19)
+SUMIFS('UFCA - BA'!J135:J142,'UFCA - BA'!F135:F142,Criterios!A13,
'UFCA - BA'!L135:L142,Criterios!B19)
+SUMIFS('UFCA - BA'!J135:J142,'UFCA - BA'!F135:F142,Criterios!A14,
'UFCA - BA'!L135:L142,Criterios!B19)
+SUMIFS('UFCA - BA'!J135:J142,'UFCA - BA'!F135:F142,Criterios!A4,
'UFCA - BA'!L135:L142,Criterios!B21)
+SUMIFS('UFCA - BA'!J135:J142,'UFCA - BA'!F135:F142,Criterios!A5,
'UFCA - BA'!L135:L142,Criterios!B21)
+SUMIFS('UFCA - BA'!J135:J142,'UFCA - BA'!F135:F142,Criterios!A6,
'UFCA - BA'!L135:L142,Criterios!B21)
+SUMIFS('UFCA - BA'!J135:J142,'UFCA - BA'!F135:F142,Criterios!A8,
'UFCA - BA'!L135:L142,Criterios!B21)
+SUMIFS('UFCA - BA'!J135:J142,'UFCA - BA'!F135:F142,Criterios!A11,
'UFCA - BA'!L135:L142,Criterios!B21)
+SUMIFS('UFCA - BA'!J135:J142,'UFCA - BA'!F135:F142,Criterios!A12,
'UFCA - BA'!L135:L142,Criterios!B21)
+SUMIFS('UFCA - BA'!J135:J142,'UFCA - BA'!F135:F142,Criterios!A13,
'UFCA - BA'!L135:L142,Criterios!B21)
+SUMIFS('UFCA - BA'!J135:J142,'UFCA - BA'!F135:F142,Criterios!A14,
'UFCA - BA'!L135:L142,Criterios!B21)</f>
        <v>103.69</v>
      </c>
      <c r="D8" s="15" t="s">
        <v>100</v>
      </c>
      <c r="E8" s="15">
        <f>SUMIF('UFCA - BA'!F135:F142,Criterios!D4,'UFCA - BA'!J135:J142)
+SUMIF('UFCA - BA'!F135:F142,Criterios!D5,'UFCA - BA'!J135:J142)</f>
        <v>7.66</v>
      </c>
      <c r="F8" s="15">
        <f>SUMIF('UFCA - BA'!F135:F142,Criterios!E4,'UFCA - BA'!J135:J142)
+SUMIF('UFCA - BA'!F135:F142,Criterios!E5,'UFCA - BA'!J135:J142)
+SUMIF('UFCA - BA'!F135:F142,Criterios!E6,'UFCA - BA'!J135:J142)
+SUMIF('UFCA - BA'!F135:F142,Criterios!E7,'UFCA - BA'!J135:J142)
+SUMIF('UFCA - BA'!F135:F142,Criterios!E8,'UFCA - BA'!J135:J142)
+SUMIF('UFCA - BA'!F135:F142,Criterios!E9,'UFCA - BA'!J135:J142)</f>
        <v>67.48</v>
      </c>
      <c r="G8" s="15">
        <f>SUMIF('UFCA - BA'!F135:F142,Criterios!F4,'UFCA - BA'!J135:J142)</f>
        <v>4.72</v>
      </c>
      <c r="H8" s="15" t="s">
        <v>100</v>
      </c>
      <c r="I8" s="15">
        <f t="shared" si="0"/>
        <v>183.54999999999998</v>
      </c>
      <c r="K8">
        <f>SUMIF('UFCA - BA'!$C$4:$C$229,'TOTAL - BA'!A8,'UFCA - BA'!$J$4:$J$229)</f>
        <v>183.55</v>
      </c>
      <c r="L8" s="2">
        <f t="shared" si="1"/>
        <v>0</v>
      </c>
      <c r="M8" s="307" t="s">
        <v>1924</v>
      </c>
    </row>
    <row r="9" spans="1:15">
      <c r="A9" s="138" t="s">
        <v>1529</v>
      </c>
      <c r="B9" s="15">
        <f>SUMIFS('UFCA - BA'!J157:J229,'UFCA - BA'!F157:F229,Criterios!A4,
'UFCA - BA'!L157:L229,Criterios!A19)
+SUMIFS('UFCA - BA'!J157:J229,'UFCA - BA'!F157:F229,Criterios!A5,
'UFCA - BA'!L157:L229,Criterios!A19)
+SUMIFS('UFCA - BA'!J157:J229,'UFCA - BA'!F157:F229,Criterios!A6,
'UFCA - BA'!L157:L229,Criterios!A19)
+SUMIFS('UFCA - BA'!J157:J229,'UFCA - BA'!F157:F229,Criterios!A7,
'UFCA - BA'!L157:L229,Criterios!A19)
+SUMIFS('UFCA - BA'!J157:J229,'UFCA - BA'!F157:F229,Criterios!A8,
'UFCA - BA'!L157:L229,Criterios!A19)
+SUMIFS('UFCA - BA'!J157:J229,'UFCA - BA'!F157:F229,Criterios!A9,
'UFCA - BA'!L157:L229,Criterios!A19)
+SUMIFS('UFCA - BA'!J157:J229,'UFCA - BA'!F157:F229,Criterios!A10,
'UFCA - BA'!L157:L229,Criterios!A19)
+SUMIFS('UFCA - BA'!J157:J229,'UFCA - BA'!F157:F229,Criterios!A11,
'UFCA - BA'!L157:L229,Criterios!A19)
+SUMIFS('UFCA - BA'!J157:J229,'UFCA - BA'!F157:F229,Criterios!A12,
'UFCA - BA'!L157:L229,Criterios!A19)
+SUMIFS('UFCA - BA'!J157:J229,'UFCA - BA'!F157:F229,Criterios!A13,
'UFCA - BA'!L157:L229,Criterios!A19)
+SUMIFS('UFCA - BA'!J157:J229,'UFCA - BA'!F157:F229,Criterios!A14,
'UFCA - BA'!L157:L229,Criterios!A19)
+SUMIFS('UFCA - BA'!J157:J229,'UFCA - BA'!F157:F229,Criterios!A15,
'UFCA - BA'!L157:L229,Criterios!A19)
+SUMIFS('UFCA - BA'!J157:J229,'UFCA - BA'!F157:F229,Criterios!A4,
'UFCA - BA'!L157:L229,Criterios!A20)
+SUMIFS('UFCA - BA'!J157:J229,'UFCA - BA'!F157:F229,Criterios!A5,
'UFCA - BA'!L157:L229,Criterios!A20)
+SUMIFS('UFCA - BA'!J157:J229,'UFCA - BA'!F157:F229,Criterios!A6,
'UFCA - BA'!L157:L229,Criterios!A20)
+SUMIFS('UFCA - BA'!J157:J229,'UFCA - BA'!F157:F229,Criterios!A7,
'UFCA - BA'!L157:L229,Criterios!A20)
+SUMIFS('UFCA - BA'!J157:J229,'UFCA - BA'!F157:F229,Criterios!A8,
'UFCA - BA'!L157:L229,Criterios!A20)
+SUMIFS('UFCA - BA'!J157:J229,'UFCA - BA'!F157:F229,Criterios!A9,
'UFCA - BA'!L157:L229,Criterios!A20)
+SUMIFS('UFCA - BA'!J157:J229,'UFCA - BA'!F157:F229,Criterios!A10,
'UFCA - BA'!L157:L229,Criterios!A20)
+SUMIFS('UFCA - BA'!J157:J229,'UFCA - BA'!F157:F229,Criterios!A11,
'UFCA - BA'!L157:L229,Criterios!A20)
+SUMIFS('UFCA - BA'!J157:J229,'UFCA - BA'!F157:F229,Criterios!A12,
'UFCA - BA'!L157:L229,Criterios!A20)
+SUMIFS('UFCA - BA'!J157:J229,'UFCA - BA'!F157:F229,Criterios!A13,
'UFCA - BA'!L157:L229,Criterios!A20)
+SUMIFS('UFCA - BA'!J157:J229,'UFCA - BA'!F157:F229,Criterios!A14,
'UFCA - BA'!L157:L229,Criterios!A20)
+SUMIFS('UFCA - BA'!J157:J229,'UFCA - BA'!F157:F229,Criterios!A15,
'UFCA - BA'!L157:L229,Criterios!A20)</f>
        <v>795.44999999999993</v>
      </c>
      <c r="C9" s="15">
        <f>SUMIFS('UFCA - BA'!J157:J229,'UFCA - BA'!F157:F229,Criterios!B4,
'UFCA - BA'!L157:L229,Criterios!B19)
+SUMIFS('UFCA - BA'!J157:J229,'UFCA - BA'!F157:F229,Criterios!B5,
'UFCA - BA'!L157:L229,Criterios!B19)
+SUMIFS('UFCA - BA'!J157:J229,'UFCA - BA'!F157:F229,Criterios!B6,
'UFCA - BA'!L157:L229,Criterios!B19)
+SUMIFS('UFCA - BA'!J157:J229,'UFCA - BA'!F157:F229,Criterios!B7,
'UFCA - BA'!L157:L229,Criterios!B19)
+SUMIFS('UFCA - BA'!J157:J229,'UFCA - BA'!F157:F229,Criterios!B8,
'UFCA - BA'!L157:L229,Criterios!B19)
+SUMIFS('UFCA - BA'!J157:J229,'UFCA - BA'!F157:F229,Criterios!B4,
'UFCA - BA'!L157:L229,Criterios!B21)
+SUMIFS('UFCA - BA'!J157:J229,'UFCA - BA'!F157:F229,Criterios!B5,
'UFCA - BA'!L157:L229,Criterios!B21)
+SUMIFS('UFCA - BA'!J157:J229,'UFCA - BA'!F157:F229,Criterios!B6,
'UFCA - BA'!L157:L229,Criterios!B21)
+SUMIFS('UFCA - BA'!J157:J229,'UFCA - BA'!F157:F229,Criterios!B7,
'UFCA - BA'!L157:L229,Criterios!B21)
+SUMIFS('UFCA - BA'!J157:J229,'UFCA - BA'!F157:F229,Criterios!B8,
'UFCA - BA'!L157:L229,Criterios!B21)
+SUMIFS('UFCA - BA'!J157:J229,'UFCA - BA'!F157:F229,Criterios!A4,
'UFCA - BA'!L157:L229,Criterios!B19)
+SUMIFS('UFCA - BA'!J157:J229,'UFCA - BA'!F157:F229,Criterios!A5,
'UFCA - BA'!L157:L229,Criterios!B19)
+SUMIFS('UFCA - BA'!J157:J229,'UFCA - BA'!F157:F229,Criterios!A6,
'UFCA - BA'!L157:L229,Criterios!B19)
+SUMIFS('UFCA - BA'!J157:J229,'UFCA - BA'!F157:F229,Criterios!A8,
'UFCA - BA'!L157:L229,Criterios!B19)
+SUMIFS('UFCA - BA'!J157:J229,'UFCA - BA'!F157:F229,Criterios!A11,
'UFCA - BA'!L157:L229,Criterios!B19)
+SUMIFS('UFCA - BA'!J157:J229,'UFCA - BA'!F157:F229,Criterios!A12,
'UFCA - BA'!L157:L229,Criterios!B19)
+SUMIFS('UFCA - BA'!J157:J229,'UFCA - BA'!F157:F229,Criterios!A13,
'UFCA - BA'!L157:L229,Criterios!B19)
+SUMIFS('UFCA - BA'!J157:J229,'UFCA - BA'!F157:F229,Criterios!A14,
'UFCA - BA'!L157:L229,Criterios!B19)
+SUMIFS('UFCA - BA'!J157:J229,'UFCA - BA'!F157:F229,Criterios!A4,
'UFCA - BA'!L157:L229,Criterios!B21)
+SUMIFS('UFCA - BA'!J157:J229,'UFCA - BA'!F157:F229,Criterios!A5,
'UFCA - BA'!L157:L229,Criterios!B21)
+SUMIFS('UFCA - BA'!J157:J229,'UFCA - BA'!F157:F229,Criterios!A6,
'UFCA - BA'!L157:L229,Criterios!B21)
+SUMIFS('UFCA - BA'!J157:J229,'UFCA - BA'!F157:F229,Criterios!A8,
'UFCA - BA'!L157:L229,Criterios!B21)
+SUMIFS('UFCA - BA'!J157:J229,'UFCA - BA'!F157:F229,Criterios!A11,
'UFCA - BA'!L157:L229,Criterios!B21)
+SUMIFS('UFCA - BA'!J157:J229,'UFCA - BA'!F157:F229,Criterios!A12,
'UFCA - BA'!L157:L229,Criterios!B21)
+SUMIFS('UFCA - BA'!J157:J229,'UFCA - BA'!F157:F229,Criterios!A13,
'UFCA - BA'!L157:L229,Criterios!B21)
+SUMIFS('UFCA - BA'!J157:J229,'UFCA - BA'!F157:F229,Criterios!A14,
'UFCA - BA'!L157:L229,Criterios!B21)</f>
        <v>0</v>
      </c>
      <c r="D9" s="15">
        <f>SUMIF('UFCA - BA'!F157:F229,Criterios!C4,'UFCA - BA'!J157:J229)</f>
        <v>0</v>
      </c>
      <c r="E9" s="15">
        <f>SUMIF('UFCA - BA'!F157:F229,Criterios!D4,'UFCA - BA'!J157:J229)
+SUMIF('UFCA - BA'!F157:F229,Criterios!D5,'UFCA - BA'!J157:J229)</f>
        <v>0</v>
      </c>
      <c r="F9" s="15">
        <f>SUMIF('UFCA - BA'!F157:F229,Criterios!E4,'UFCA - BA'!J157:J229)
+SUMIF('UFCA - BA'!F157:F229,Criterios!E5,'UFCA - BA'!J157:J229)
+SUMIF('UFCA - BA'!F157:F229,Criterios!E6,'UFCA - BA'!J157:J229)
+SUMIF('UFCA - BA'!F157:F229,Criterios!E7,'UFCA - BA'!J157:J229)
+SUMIF('UFCA - BA'!F157:F229,Criterios!E8,'UFCA - BA'!J157:J229)
+SUMIF('UFCA - BA'!F157:F229,Criterios!E9,'UFCA - BA'!J157:J229)</f>
        <v>464.19</v>
      </c>
      <c r="G9" s="15">
        <f>SUMIF('UFCA - BA'!F157:F229,Criterios!F4,'UFCA - BA'!J157:J229)</f>
        <v>115.92000000000002</v>
      </c>
      <c r="H9" s="15">
        <f>SUMIF('UFCA - BA'!F157:F229,Criterios!G4,'UFCA - BA'!J157:J229)</f>
        <v>369.2000000000001</v>
      </c>
      <c r="I9" s="15">
        <f t="shared" si="0"/>
        <v>1744.76</v>
      </c>
      <c r="K9">
        <f>SUMIF('UFCA - BA'!$C$4:$C$229,'TOTAL - BA'!A9,'UFCA - BA'!$J$4:$J$229)</f>
        <v>1744.7599999999995</v>
      </c>
      <c r="L9" s="2">
        <f t="shared" si="1"/>
        <v>0</v>
      </c>
      <c r="M9" s="307" t="s">
        <v>1963</v>
      </c>
    </row>
    <row r="10" spans="1:15">
      <c r="A10" s="139" t="s">
        <v>563</v>
      </c>
      <c r="B10" s="33">
        <f t="shared" ref="B10:I10" si="2">SUM(B6:B8)</f>
        <v>533.92999999999995</v>
      </c>
      <c r="C10" s="33">
        <f t="shared" si="2"/>
        <v>2343.4800000000005</v>
      </c>
      <c r="D10" s="33">
        <f t="shared" si="2"/>
        <v>102.04</v>
      </c>
      <c r="E10" s="33">
        <f t="shared" si="2"/>
        <v>26.97</v>
      </c>
      <c r="F10" s="33">
        <f t="shared" si="2"/>
        <v>1296.3000000000002</v>
      </c>
      <c r="G10" s="33">
        <f t="shared" si="2"/>
        <v>197.15</v>
      </c>
      <c r="H10" s="33">
        <f t="shared" si="2"/>
        <v>593.72</v>
      </c>
      <c r="I10" s="25">
        <f t="shared" si="2"/>
        <v>5093.59</v>
      </c>
    </row>
    <row r="11" spans="1:15">
      <c r="A11" s="120"/>
      <c r="E11" s="154"/>
      <c r="F11" s="154"/>
    </row>
    <row r="12" spans="1:15">
      <c r="A12" s="120"/>
    </row>
    <row r="13" spans="1:15">
      <c r="A13" s="120"/>
    </row>
    <row r="14" spans="1:15">
      <c r="A14" s="675" t="s">
        <v>603</v>
      </c>
      <c r="B14" s="675"/>
      <c r="C14" s="675"/>
      <c r="D14" s="675"/>
      <c r="J14" s="3"/>
    </row>
    <row r="15" spans="1:15">
      <c r="A15" s="662" t="s">
        <v>600</v>
      </c>
      <c r="B15" s="38" t="s">
        <v>602</v>
      </c>
      <c r="C15" s="38" t="s">
        <v>601</v>
      </c>
      <c r="D15" s="38" t="s">
        <v>615</v>
      </c>
    </row>
    <row r="16" spans="1:15">
      <c r="A16" s="663"/>
      <c r="B16" s="15">
        <f>SUMIF('UFCA - BA'!F146:F154,Criterios!I6,'UFCA - BA'!J146:J154)</f>
        <v>1732.35</v>
      </c>
      <c r="C16" s="15">
        <f>SUMIF('UFCA - BA'!F146:F154,Criterios!I4,'UFCA - BA'!J146:J154)
+SUMIF('UFCA - BA'!F146:F154,Criterios!I9,'UFCA - BA'!J146:J154)
+SUMIF('UFCA - BA'!F146:F154,Criterios!I10,'UFCA - BA'!J146:J154)</f>
        <v>2937.09</v>
      </c>
      <c r="D16" s="15">
        <f>SUMIF('UFCA - BA'!F146:F154,Criterios!I5,'UFCA - BA'!J146:J154)</f>
        <v>1684.35</v>
      </c>
      <c r="H16" s="1"/>
      <c r="J16" s="2">
        <f>SUM(B16:I16)</f>
        <v>6353.7900000000009</v>
      </c>
      <c r="K16" s="2">
        <f>SUM('UFCA - BA'!J146:J154)</f>
        <v>6353.79</v>
      </c>
      <c r="L16" s="2">
        <f>K16-J16</f>
        <v>0</v>
      </c>
    </row>
    <row r="17" spans="1:10" ht="25.5">
      <c r="A17" s="31"/>
      <c r="B17" s="31" t="s">
        <v>1998</v>
      </c>
      <c r="C17" s="31" t="s">
        <v>2510</v>
      </c>
      <c r="D17" s="31" t="s">
        <v>2000</v>
      </c>
      <c r="E17" s="31" t="s">
        <v>2001</v>
      </c>
      <c r="I17"/>
      <c r="J17" t="s">
        <v>2512</v>
      </c>
    </row>
    <row r="18" spans="1:10">
      <c r="A18" s="31" t="s">
        <v>1997</v>
      </c>
      <c r="B18" s="18">
        <f>'UFCA - Terrenos'!D7</f>
        <v>14248</v>
      </c>
      <c r="C18" s="18">
        <f>TRUNC(SUM('UFCA - edificações'!F125:F130),2)</f>
        <v>4746.1499999999996</v>
      </c>
      <c r="D18" s="15">
        <f>TRUNC(SUM(B16:D16),2)</f>
        <v>6353.79</v>
      </c>
      <c r="E18" s="15">
        <v>0</v>
      </c>
      <c r="I18"/>
    </row>
    <row r="19" spans="1:10">
      <c r="A19" s="120" t="s">
        <v>2513</v>
      </c>
    </row>
    <row r="20" spans="1:10">
      <c r="A20" s="120"/>
    </row>
    <row r="21" spans="1:10">
      <c r="A21" s="120"/>
    </row>
  </sheetData>
  <mergeCells count="8">
    <mergeCell ref="A3:I3"/>
    <mergeCell ref="A15:A16"/>
    <mergeCell ref="A1:I1"/>
    <mergeCell ref="A2:I2"/>
    <mergeCell ref="A4:A5"/>
    <mergeCell ref="B4:G4"/>
    <mergeCell ref="I4:I5"/>
    <mergeCell ref="A14:D14"/>
  </mergeCells>
  <conditionalFormatting sqref="L6:L9">
    <cfRule type="cellIs" dxfId="59" priority="4" operator="greaterThan">
      <formula>0</formula>
    </cfRule>
    <cfRule type="cellIs" dxfId="58" priority="5" operator="lessThan">
      <formula>0</formula>
    </cfRule>
    <cfRule type="cellIs" dxfId="57" priority="6" operator="equal">
      <formula>0</formula>
    </cfRule>
  </conditionalFormatting>
  <conditionalFormatting sqref="L16">
    <cfRule type="cellIs" dxfId="56" priority="1" operator="greaterThan">
      <formula>0</formula>
    </cfRule>
    <cfRule type="cellIs" dxfId="55" priority="2" operator="lessThan">
      <formula>0</formula>
    </cfRule>
    <cfRule type="cellIs" dxfId="54" priority="3" operator="equal">
      <formula>0</formula>
    </cfRule>
  </conditionalFormatting>
  <pageMargins left="0.98425196850393704" right="0.51181102362204722" top="0.59055118110236227" bottom="0.59055118110236227" header="0.31496062992125984" footer="0.31496062992125984"/>
  <pageSetup paperSize="9" scale="80" fitToHeight="0" orientation="landscape" r:id="rId1"/>
  <headerFooter>
    <oddHeader>&amp;C&amp;F&amp;R&amp;A</oddHeader>
    <oddFooter>&amp;LÚLTIMA ATUALIZAÇÃO: 30/05/2025&amp;CUFCA/DINFRA - Pág &amp;P/&amp;N&amp;RSUPERVISÃO DO LEVANTAMENTO: Arq. LOUISE BARBOSA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132B7-7E72-4EAE-BDD5-B90A2C373FCF}">
  <sheetPr>
    <pageSetUpPr fitToPage="1"/>
  </sheetPr>
  <dimension ref="A1:M77"/>
  <sheetViews>
    <sheetView view="pageBreakPreview" zoomScale="70" zoomScaleNormal="100" zoomScaleSheetLayoutView="70" workbookViewId="0">
      <selection activeCell="Q50" sqref="Q50"/>
    </sheetView>
  </sheetViews>
  <sheetFormatPr defaultRowHeight="15"/>
  <cols>
    <col min="1" max="1" width="28.140625" customWidth="1"/>
    <col min="2" max="2" width="14.5703125" customWidth="1"/>
    <col min="3" max="3" width="15.5703125" customWidth="1"/>
    <col min="4" max="4" width="14.85546875" bestFit="1" customWidth="1"/>
    <col min="5" max="5" width="12.42578125" customWidth="1"/>
    <col min="6" max="6" width="19.7109375" customWidth="1"/>
  </cols>
  <sheetData>
    <row r="1" spans="1:13">
      <c r="A1" s="664" t="s">
        <v>837</v>
      </c>
      <c r="B1" s="665"/>
      <c r="C1" s="665"/>
      <c r="D1" s="665"/>
      <c r="E1" s="666"/>
      <c r="F1" s="667"/>
      <c r="G1" s="667"/>
      <c r="H1" s="668"/>
      <c r="I1" s="667"/>
    </row>
    <row r="2" spans="1:13">
      <c r="A2" s="669" t="s">
        <v>611</v>
      </c>
      <c r="B2" s="668"/>
      <c r="C2" s="668"/>
      <c r="D2" s="668"/>
      <c r="E2" s="670"/>
      <c r="F2" s="667"/>
      <c r="G2" s="667"/>
      <c r="H2" s="668"/>
      <c r="I2" s="667"/>
    </row>
    <row r="3" spans="1:13">
      <c r="A3" s="686" t="s">
        <v>1904</v>
      </c>
      <c r="B3" s="687"/>
      <c r="C3" s="687"/>
      <c r="D3" s="687"/>
      <c r="E3" s="688"/>
      <c r="F3" s="687"/>
      <c r="G3" s="687"/>
      <c r="H3" s="687"/>
      <c r="I3" s="687"/>
    </row>
    <row r="4" spans="1:13">
      <c r="A4" s="671" t="s">
        <v>70</v>
      </c>
      <c r="B4" s="672" t="s">
        <v>285</v>
      </c>
      <c r="C4" s="672"/>
      <c r="D4" s="672"/>
      <c r="E4" s="673"/>
      <c r="F4" s="672"/>
      <c r="G4" s="672"/>
      <c r="H4" s="31"/>
      <c r="I4" s="674" t="s">
        <v>550</v>
      </c>
    </row>
    <row r="5" spans="1:13" ht="51">
      <c r="A5" s="671"/>
      <c r="B5" s="31" t="s">
        <v>551</v>
      </c>
      <c r="C5" s="31" t="s">
        <v>833</v>
      </c>
      <c r="D5" s="31" t="s">
        <v>1920</v>
      </c>
      <c r="E5" s="31" t="s">
        <v>553</v>
      </c>
      <c r="F5" s="31" t="s">
        <v>1905</v>
      </c>
      <c r="G5" s="20" t="s">
        <v>555</v>
      </c>
      <c r="H5" s="31" t="s">
        <v>1990</v>
      </c>
      <c r="I5" s="674"/>
      <c r="K5" t="s">
        <v>1908</v>
      </c>
    </row>
    <row r="6" spans="1:13">
      <c r="A6" s="138" t="s">
        <v>1927</v>
      </c>
      <c r="B6" s="36">
        <f>SUMIFS('UFCA - CR'!J6:J18,'UFCA - CR'!F6:F18,Criterios!A4,
'UFCA - CR'!L6:L18,Criterios!A19)
+SUMIFS('UFCA - CR'!J6:J18,'UFCA - CR'!F6:F18,Criterios!A5,
'UFCA - CR'!L6:L18,Criterios!A19)
+SUMIFS('UFCA - CR'!J6:J18,'UFCA - CR'!F6:F18,Criterios!A6,
'UFCA - CR'!L6:L18,Criterios!A19)
+SUMIFS('UFCA - CR'!J6:J18,'UFCA - CR'!F6:F18,Criterios!A7,
'UFCA - CR'!L6:L18,Criterios!A19)
+SUMIFS('UFCA - CR'!J6:J18,'UFCA - CR'!F6:F18,Criterios!A8,
'UFCA - CR'!L6:L18,Criterios!A19)
+SUMIFS('UFCA - CR'!J6:J18,'UFCA - CR'!F6:F18,Criterios!A9,
'UFCA - CR'!L6:L18,Criterios!A19)
+SUMIFS('UFCA - CR'!J6:J18,'UFCA - CR'!F6:F18,Criterios!A10,
'UFCA - CR'!L6:L18,Criterios!A19)
+SUMIFS('UFCA - CR'!J6:J18,'UFCA - CR'!F6:F18,Criterios!A11,
'UFCA - CR'!L6:L18,Criterios!A19)
+SUMIFS('UFCA - CR'!J6:J18,'UFCA - CR'!F6:F18,Criterios!A12,
'UFCA - CR'!L6:L18,Criterios!A19)
+SUMIFS('UFCA - CR'!J6:J18,'UFCA - CR'!F6:F18,Criterios!A13,
'UFCA - CR'!L6:L18,Criterios!A19)
+SUMIFS('UFCA - CR'!J6:J18,'UFCA - CR'!F6:F18,Criterios!A14,
'UFCA - CR'!L6:L18,Criterios!A19)
+SUMIFS('UFCA - CR'!J6:J18,'UFCA - CR'!F6:F18,Criterios!A15,
'UFCA - CR'!L6:L18,Criterios!A19)
+SUMIFS('UFCA - CR'!J6:J18,'UFCA - CR'!F6:F18,Criterios!A4,
'UFCA - CR'!L6:L18,Criterios!A21)
+SUMIFS('UFCA - CR'!J6:J18,'UFCA - CR'!F6:F18,Criterios!A5,
'UFCA - CR'!L6:L18,Criterios!A21)
+SUMIFS('UFCA - CR'!J6:J18,'UFCA - CR'!F6:F18,Criterios!A6,
'UFCA - CR'!L6:L18,Criterios!A21)
+SUMIFS('UFCA - CR'!J6:J18,'UFCA - CR'!F6:F18,Criterios!A7,
'UFCA - CR'!L6:L18,Criterios!A21)
+SUMIFS('UFCA - CR'!J6:J18,'UFCA - CR'!F6:F18,Criterios!A8,
'UFCA - CR'!L6:L18,Criterios!A21)
+SUMIFS('UFCA - CR'!J6:J18,'UFCA - CR'!F6:F18,Criterios!A9,
'UFCA - CR'!L6:L18,Criterios!A21)
+SUMIFS('UFCA - CR'!J6:J18,'UFCA - CR'!F6:F18,Criterios!A10,
'UFCA - CR'!L6:L18,Criterios!A21)
+SUMIFS('UFCA - CR'!J6:J18,'UFCA - CR'!F6:F18,Criterios!A11,
'UFCA - CR'!L6:L18,Criterios!A21)
+SUMIFS('UFCA - CR'!J6:J18,'UFCA - CR'!F6:F18,Criterios!A12,
'UFCA - CR'!L6:L18,Criterios!A21)
+SUMIFS('UFCA - CR'!J6:J18,'UFCA - CR'!F6:F18,Criterios!A13,
'UFCA - CR'!L6:L18,Criterios!A21)
+SUMIFS('UFCA - CR'!J6:J18,'UFCA - CR'!F6:F18,Criterios!A14,
'UFCA - CR'!L6:L18,Criterios!A21)
+SUMIFS('UFCA - CR'!J6:J18,'UFCA - CR'!F6:F18,Criterios!A15,
'UFCA - CR'!L6:L18,Criterios!A21)</f>
        <v>94.5</v>
      </c>
      <c r="C6" s="36">
        <f>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CR'!L6:L18,Criterios!B21)
+SUMIFS('UFCA - CR'!J6:J18,'UFCA - CR'!F6:F18,Criterios!A5,
'UFCA - CR'!L6:L18,Criterios!B21)
+SUMIFS('UFCA - CR'!J6:J18,'UFCA - CR'!F6:F18,Criterios!A6,
'UFCA - CR'!L6:L18,Criterios!B21)
+SUMIFS('UFCA - CR'!J6:J18,'UFCA - CR'!F6:F18,Criterios!A8,
'UFCA - CR'!L6:L18,Criterios!B21)
+SUMIFS('UFCA - CR'!J6:J18,'UFCA - CR'!F6:F18,Criterios!A11,
'UFCA - CR'!L6:L18,Criterios!B21)
+SUMIFS('UFCA - CR'!J6:J18,'UFCA - CR'!F6:F18,Criterios!A12,
'UFCA - CR'!L6:L18,Criterios!B21)
+SUMIFS('UFCA - CR'!J6:J18,'UFCA - CR'!F6:F18,Criterios!A13,
'UFCA - CR'!L6:L18,Criterios!B21)
+SUMIFS('UFCA - CR'!J6:J18,'UFCA - CR'!F6:F18,Criterios!A14,
'UFCA - CR'!L6:L18,Criterios!B21)
+SUMIFS('UFCA - CR'!J6:J18,'UFCA - CR'!F6:F18,Criterios!B4,
'UFCA - CR'!L6:L18,Criterios!B19)
+SUMIFS('UFCA - CR'!J6:J18,'UFCA - CR'!F6:F18,Criterios!B5,
'UFCA - CR'!L6:L18,Criterios!B19)
+SUMIFS('UFCA - CR'!J6:J18,'UFCA - CR'!F6:F18,Criterios!B6,
'UFCA - CR'!L6:L18,Criterios!B19)
+SUMIFS('UFCA - CR'!J6:J18,'UFCA - CR'!F6:F18,Criterios!B7,
'UFCA - CR'!L6:L18,Criterios!B19)
+SUMIFS('UFCA - CR'!J6:J18,'UFCA - CR'!F6:F18,Criterios!B8,
'UFCA - CR'!L6:L18,Criterios!B19)</f>
        <v>7.1</v>
      </c>
      <c r="D6" s="15">
        <f>SUMIF('UFCA - CR'!F6:F18,Criterios!C4,'UFCA - CR'!J6:J18)</f>
        <v>0</v>
      </c>
      <c r="E6" s="15">
        <f>SUMIF('UFCA - CR'!F6:F18,Criterios!D4,'UFCA - CR'!J6:J18)</f>
        <v>9.57</v>
      </c>
      <c r="F6" s="15">
        <f>SUMIF('UFCA - CR'!F6:F18,Criterios!E4,'UFCA - CR'!J6:J18)</f>
        <v>238.45000000000002</v>
      </c>
      <c r="G6" s="15">
        <f>SUMIF('UFCA - CR'!F6:F18,Criterios!F4,'UFCA - CR'!J6:J18)</f>
        <v>20.830000000000002</v>
      </c>
      <c r="H6" s="15"/>
      <c r="I6" s="15">
        <f t="shared" ref="I6:I15" si="0">SUM(B6:H6)</f>
        <v>370.45</v>
      </c>
      <c r="K6">
        <f>SUMIF('UFCA - CR'!$C$4:$C$200,'TOTAL - CR'!A6,'UFCA - CR'!$J$4:$J$200)</f>
        <v>370.45</v>
      </c>
      <c r="L6" s="2">
        <f t="shared" ref="L6:L15" si="1">K6-I6</f>
        <v>0</v>
      </c>
      <c r="M6" s="307" t="s">
        <v>1951</v>
      </c>
    </row>
    <row r="7" spans="1:13">
      <c r="A7" s="138" t="s">
        <v>1928</v>
      </c>
      <c r="B7" s="36">
        <f>SUMIFS('UFCA - CR'!J19:J28,'UFCA - CR'!F19:F28,Criterios!A4,
'UFCA - CR'!L19:L28,Criterios!A19)
+SUMIFS('UFCA - CR'!J19:J28,'UFCA - CR'!F19:F28,Criterios!A5,
'UFCA - CR'!L19:L28,Criterios!A19)
+SUMIFS('UFCA - CR'!J19:J28,'UFCA - CR'!F19:F28,Criterios!A6,
'UFCA - CR'!L19:L28,Criterios!A19)
+SUMIFS('UFCA - CR'!J19:J28,'UFCA - CR'!F19:F28,Criterios!A7,
'UFCA - CR'!L19:L28,Criterios!A19)
+SUMIFS('UFCA - CR'!J19:J28,'UFCA - CR'!F19:F28,Criterios!A8,
'UFCA - CR'!L19:L28,Criterios!A19)
+SUMIFS('UFCA - CR'!J19:J28,'UFCA - CR'!F19:F28,Criterios!A9,
'UFCA - CR'!L19:L28,Criterios!A19)
+SUMIFS('UFCA - CR'!J19:J28,'UFCA - CR'!F19:F28,Criterios!A10,
'UFCA - CR'!L19:L28,Criterios!A19)
+SUMIFS('UFCA - CR'!J19:J28,'UFCA - CR'!F19:F28,Criterios!A11,
'UFCA - CR'!L19:L28,Criterios!A19)
+SUMIFS('UFCA - CR'!J19:J28,'UFCA - CR'!F19:F28,Criterios!A12,
'UFCA - CR'!L19:L28,Criterios!A19)
+SUMIFS('UFCA - CR'!J19:J28,'UFCA - CR'!F19:F28,Criterios!A13,
'UFCA - CR'!L19:L28,Criterios!A19)
+SUMIFS('UFCA - CR'!J19:J28,'UFCA - CR'!F19:F28,Criterios!A14,
'UFCA - CR'!L19:L28,Criterios!A19)
+SUMIFS('UFCA - CR'!J19:J28,'UFCA - CR'!F19:F28,Criterios!A15,
'UFCA - CR'!L19:L28,Criterios!A19)
+SUMIFS('UFCA - CR'!J19:J28,'UFCA - CR'!F19:F28,Criterios!A4,
'UFCA - CR'!L19:L28,Criterios!A21)
+SUMIFS('UFCA - CR'!J19:J28,'UFCA - CR'!F19:F28,Criterios!A5,
'UFCA - CR'!L19:L28,Criterios!A21)
+SUMIFS('UFCA - CR'!J19:J28,'UFCA - CR'!F19:F28,Criterios!A6,
'UFCA - CR'!L19:L28,Criterios!A21)
+SUMIFS('UFCA - CR'!J19:J28,'UFCA - CR'!F19:F28,Criterios!A7,
'UFCA - CR'!L19:L28,Criterios!A21)
+SUMIFS('UFCA - CR'!J19:J28,'UFCA - CR'!F19:F28,Criterios!A8,
'UFCA - CR'!L19:L28,Criterios!A21)
+SUMIFS('UFCA - CR'!J19:J28,'UFCA - CR'!F19:F28,Criterios!A9,
'UFCA - CR'!L19:L28,Criterios!A21)
+SUMIFS('UFCA - CR'!J19:J28,'UFCA - CR'!F19:F28,Criterios!A10,
'UFCA - CR'!L19:L28,Criterios!A21)
+SUMIFS('UFCA - CR'!J19:J28,'UFCA - CR'!F19:F28,Criterios!A11,
'UFCA - CR'!L19:L28,Criterios!A21)
+SUMIFS('UFCA - CR'!J19:J28,'UFCA - CR'!F19:F28,Criterios!A12,
'UFCA - CR'!L19:L28,Criterios!A21)
+SUMIFS('UFCA - CR'!J19:J28,'UFCA - CR'!F19:F28,Criterios!A13,
'UFCA - CR'!L19:L28,Criterios!A21)
+SUMIFS('UFCA - CR'!J19:J28,'UFCA - CR'!F19:F28,Criterios!A14,
'UFCA - CR'!L19:L28,Criterios!A21)
+SUMIFS('UFCA - CR'!J19:J28,'UFCA - CR'!F19:F28,Criterios!A15,
'UFCA - CR'!L19:L28,Criterios!A21)</f>
        <v>88.2</v>
      </c>
      <c r="C7" s="36">
        <f>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CR'!L19:L28,Criterios!B21)
+SUMIFS('UFCA - CR'!J19:J28,'UFCA - CR'!F19:F28,Criterios!A5,
'UFCA - CR'!L19:L28,Criterios!B21)
+SUMIFS('UFCA - CR'!J19:J28,'UFCA - CR'!F19:F28,Criterios!A6,
'UFCA - CR'!L19:L28,Criterios!B21)
+SUMIFS('UFCA - CR'!J19:J28,'UFCA - CR'!F19:F28,Criterios!A8,
'UFCA - CR'!L19:L28,Criterios!B21)
+SUMIFS('UFCA - CR'!J19:J28,'UFCA - CR'!F19:F28,Criterios!A11,
'UFCA - CR'!L19:L28,Criterios!B21)
+SUMIFS('UFCA - CR'!J19:J28,'UFCA - CR'!F19:F28,Criterios!A12,
'UFCA - CR'!L19:L28,Criterios!B21)
+SUMIFS('UFCA - CR'!J19:J28,'UFCA - CR'!F19:F28,Criterios!A13,
'UFCA - CR'!L19:L28,Criterios!B21)
+SUMIFS('UFCA - CR'!J19:J28,'UFCA - CR'!F19:F28,Criterios!A14,
'UFCA - CR'!L19:L28,Criterios!B21)
+SUMIFS('UFCA - CR'!J19:J28,'UFCA - CR'!F19:F28,Criterios!B4,
'UFCA - CR'!L19:L28,Criterios!B19)
+SUMIFS('UFCA - CR'!J19:J28,'UFCA - CR'!F19:F28,Criterios!B5,
'UFCA - CR'!L19:L28,Criterios!B19)
+SUMIFS('UFCA - CR'!J19:J28,'UFCA - CR'!F19:F28,Criterios!B6,
'UFCA - CR'!L19:L28,Criterios!B19)
+SUMIFS('UFCA - CR'!J19:J28,'UFCA - CR'!F19:F28,Criterios!B7,
'UFCA - CR'!L19:L28,Criterios!B19)
+SUMIFS('UFCA - CR'!J19:J28,'UFCA - CR'!F19:F28,Criterios!B8,
'UFCA - CR'!L19:L28,Criterios!B19)</f>
        <v>0</v>
      </c>
      <c r="D7" s="15">
        <f>SUMIF('UFCA - CR'!F19:F28,Criterios!C4,'UFCA - CR'!J19:J28)</f>
        <v>0</v>
      </c>
      <c r="E7" s="15">
        <f>SUMIF('UFCA - CR'!F19:F28,Criterios!D4,'UFCA - CR'!J19:J28)</f>
        <v>0</v>
      </c>
      <c r="F7" s="15">
        <f>SUMIF('UFCA - CR'!F19:F28,Criterios!E4,'UFCA - CR'!J19:J28)</f>
        <v>184.5</v>
      </c>
      <c r="G7" s="15">
        <f>SUMIF('UFCA - CR'!F19:F28,Criterios!F4,'UFCA - CR'!J19:J28)</f>
        <v>20.2</v>
      </c>
      <c r="H7" s="15"/>
      <c r="I7" s="15">
        <f t="shared" si="0"/>
        <v>292.89999999999998</v>
      </c>
      <c r="K7">
        <f>SUMIF('UFCA - CR'!$C$4:$C$200,'TOTAL - CR'!A7,'UFCA - CR'!$J$4:$J$200)</f>
        <v>292.89999999999998</v>
      </c>
      <c r="L7" s="2">
        <f t="shared" si="1"/>
        <v>0</v>
      </c>
      <c r="M7" s="307" t="s">
        <v>1952</v>
      </c>
    </row>
    <row r="8" spans="1:13">
      <c r="A8" s="138" t="s">
        <v>1929</v>
      </c>
      <c r="B8" s="36">
        <f>SUMIFS('UFCA - CR'!J29:J51,'UFCA - CR'!F29:F51,Criterios!A4,
'UFCA - CR'!L29:L51,Criterios!A19)
+SUMIFS('UFCA - CR'!J29:J51,'UFCA - CR'!F29:F51,Criterios!A5,
'UFCA - CR'!L29:L51,Criterios!A19)
+SUMIFS('UFCA - CR'!J29:J51,'UFCA - CR'!F29:F51,Criterios!A6,
'UFCA - CR'!L29:L51,Criterios!A19)
+SUMIFS('UFCA - CR'!J29:J51,'UFCA - CR'!F29:F51,Criterios!A7,
'UFCA - CR'!L29:L51,Criterios!A19)
+SUMIFS('UFCA - CR'!J29:J51,'UFCA - CR'!F29:F51,Criterios!A8,
'UFCA - CR'!L29:L51,Criterios!A19)
+SUMIFS('UFCA - CR'!J29:J51,'UFCA - CR'!F29:F51,Criterios!A9,
'UFCA - CR'!L29:L51,Criterios!A19)
+SUMIFS('UFCA - CR'!J29:J51,'UFCA - CR'!F29:F51,Criterios!A10,
'UFCA - CR'!L29:L51,Criterios!A19)
+SUMIFS('UFCA - CR'!J29:J51,'UFCA - CR'!F29:F51,Criterios!A11,
'UFCA - CR'!L29:L51,Criterios!A19)
+SUMIFS('UFCA - CR'!J29:J51,'UFCA - CR'!F29:F51,Criterios!A12,
'UFCA - CR'!L29:L51,Criterios!A19)
+SUMIFS('UFCA - CR'!J29:J51,'UFCA - CR'!F29:F51,Criterios!A13,
'UFCA - CR'!L29:L51,Criterios!A19)
+SUMIFS('UFCA - CR'!J29:J51,'UFCA - CR'!F29:F51,Criterios!A14,
'UFCA - CR'!L29:L51,Criterios!A19)
+SUMIFS('UFCA - CR'!J29:J51,'UFCA - CR'!F29:F51,Criterios!A15,
'UFCA - CR'!L29:L51,Criterios!A19)
+SUMIFS('UFCA - CR'!J29:J51,'UFCA - CR'!F29:F51,Criterios!A4,
'UFCA - CR'!L29:L51,Criterios!A21)
+SUMIFS('UFCA - CR'!J29:J51,'UFCA - CR'!F29:F51,Criterios!A5,
'UFCA - CR'!L29:L51,Criterios!A21)
+SUMIFS('UFCA - CR'!J29:J51,'UFCA - CR'!F29:F51,Criterios!A6,
'UFCA - CR'!L29:L51,Criterios!A21)
+SUMIFS('UFCA - CR'!J29:J51,'UFCA - CR'!F29:F51,Criterios!A7,
'UFCA - CR'!L29:L51,Criterios!A21)
+SUMIFS('UFCA - CR'!J29:J51,'UFCA - CR'!F29:F51,Criterios!A8,
'UFCA - CR'!L29:L51,Criterios!A21)
+SUMIFS('UFCA - CR'!J29:J51,'UFCA - CR'!F29:F51,Criterios!A9,
'UFCA - CR'!L29:L51,Criterios!A21)
+SUMIFS('UFCA - CR'!J29:J51,'UFCA - CR'!F29:F51,Criterios!A10,
'UFCA - CR'!L29:L51,Criterios!A21)
+SUMIFS('UFCA - CR'!J29:J51,'UFCA - CR'!F29:F51,Criterios!A11,
'UFCA - CR'!L29:L51,Criterios!A21)
+SUMIFS('UFCA - CR'!J29:J51,'UFCA - CR'!F29:F51,Criterios!A12,
'UFCA - CR'!L29:L51,Criterios!A21)
+SUMIFS('UFCA - CR'!J29:J51,'UFCA - CR'!F29:F51,Criterios!A13,
'UFCA - CR'!L29:L51,Criterios!A21)
+SUMIFS('UFCA - CR'!J29:J51,'UFCA - CR'!F29:F51,Criterios!A14,
'UFCA - CR'!L29:L51,Criterios!A21)
+SUMIFS('UFCA - CR'!J29:J51,'UFCA - CR'!F29:F51,Criterios!A15,
'UFCA - CR'!L29:L51,Criterios!A21)</f>
        <v>161.42000000000002</v>
      </c>
      <c r="C8" s="36">
        <f>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CR'!L29:L51,Criterios!B21)
+SUMIFS('UFCA - CR'!J29:J51,'UFCA - CR'!F29:F51,Criterios!A5,
'UFCA - CR'!L29:L51,Criterios!B21)
+SUMIFS('UFCA - CR'!J29:J51,'UFCA - CR'!F29:F51,Criterios!A6,
'UFCA - CR'!L29:L51,Criterios!B21)
+SUMIFS('UFCA - CR'!J29:J51,'UFCA - CR'!F29:F51,Criterios!A8,
'UFCA - CR'!L29:L51,Criterios!B21)
+SUMIFS('UFCA - CR'!J29:J51,'UFCA - CR'!F29:F51,Criterios!A11,
'UFCA - CR'!L29:L51,Criterios!B21)
+SUMIFS('UFCA - CR'!J29:J51,'UFCA - CR'!F29:F51,Criterios!A12,
'UFCA - CR'!L29:L51,Criterios!B21)
+SUMIFS('UFCA - CR'!J29:J51,'UFCA - CR'!F29:F51,Criterios!A13,
'UFCA - CR'!L29:L51,Criterios!B21)
+SUMIFS('UFCA - CR'!J29:J51,'UFCA - CR'!F29:F51,Criterios!A14,
'UFCA - CR'!L29:L51,Criterios!B21)
+SUMIFS('UFCA - CR'!J29:J51,'UFCA - CR'!F29:F51,Criterios!B4,
'UFCA - CR'!L29:L51,Criterios!B19)
+SUMIFS('UFCA - CR'!J29:J51,'UFCA - CR'!F29:F51,Criterios!B5,
'UFCA - CR'!L29:L51,Criterios!B19)
+SUMIFS('UFCA - CR'!J29:J51,'UFCA - CR'!F29:F51,Criterios!B6,
'UFCA - CR'!L29:L51,Criterios!B19)
+SUMIFS('UFCA - CR'!J29:J51,'UFCA - CR'!F29:F51,Criterios!B7,
'UFCA - CR'!L29:L51,Criterios!B19)
+SUMIFS('UFCA - CR'!J29:J51,'UFCA - CR'!F29:F51,Criterios!B8,
'UFCA - CR'!L29:L51,Criterios!B19)</f>
        <v>0</v>
      </c>
      <c r="D8" s="15">
        <f>SUMIF('UFCA - CR'!F29:F51,Criterios!C4,'UFCA - CR'!J29:J51)</f>
        <v>374.45999999999992</v>
      </c>
      <c r="E8" s="15">
        <f>SUMIF('UFCA - CR'!F29:F51,Criterios!D4,'UFCA - CR'!J29:J51)</f>
        <v>0</v>
      </c>
      <c r="F8" s="15">
        <f>SUMIF('UFCA - CR'!F29:F51,Criterios!E4,'UFCA - CR'!J29:J51)</f>
        <v>271.14999999999998</v>
      </c>
      <c r="G8" s="15">
        <f>SUMIF('UFCA - CR'!F29:F51,Criterios!F4,'UFCA - CR'!J29:J51)</f>
        <v>37.4</v>
      </c>
      <c r="H8" s="15"/>
      <c r="I8" s="15">
        <f t="shared" si="0"/>
        <v>844.42999999999984</v>
      </c>
      <c r="K8">
        <f>SUMIF('UFCA - CR'!$C$4:$C$200,'TOTAL - CR'!A8,'UFCA - CR'!$J$4:$J$200)</f>
        <v>844.43000000000018</v>
      </c>
      <c r="L8" s="2">
        <f t="shared" si="1"/>
        <v>0</v>
      </c>
      <c r="M8" s="307" t="s">
        <v>1953</v>
      </c>
    </row>
    <row r="9" spans="1:13">
      <c r="A9" s="138" t="s">
        <v>1930</v>
      </c>
      <c r="B9" s="36">
        <f>SUMIFS('UFCA - CR'!J52:J58,'UFCA - CR'!F52:F58,Criterios!A4,
'UFCA - CR'!L52:L58,Criterios!A19)
+SUMIFS('UFCA - CR'!J52:J58,'UFCA - CR'!F52:F58,Criterios!A5,
'UFCA - CR'!L52:L58,Criterios!A19)
+SUMIFS('UFCA - CR'!J52:J58,'UFCA - CR'!F52:F58,Criterios!A6,
'UFCA - CR'!L52:L58,Criterios!A19)
+SUMIFS('UFCA - CR'!J52:J58,'UFCA - CR'!F52:F58,Criterios!A7,
'UFCA - CR'!L52:L58,Criterios!A19)
+SUMIFS('UFCA - CR'!J52:J58,'UFCA - CR'!F52:F58,Criterios!A8,
'UFCA - CR'!L52:L58,Criterios!A19)
+SUMIFS('UFCA - CR'!J52:J58,'UFCA - CR'!F52:F58,Criterios!A9,
'UFCA - CR'!L52:L58,Criterios!A19)
+SUMIFS('UFCA - CR'!J52:J58,'UFCA - CR'!F52:F58,Criterios!A10,
'UFCA - CR'!L52:L58,Criterios!A19)
+SUMIFS('UFCA - CR'!J52:J58,'UFCA - CR'!F52:F58,Criterios!A11,
'UFCA - CR'!L52:L58,Criterios!A19)
+SUMIFS('UFCA - CR'!J52:J58,'UFCA - CR'!F52:F58,Criterios!A12,
'UFCA - CR'!L52:L58,Criterios!A19)
+SUMIFS('UFCA - CR'!J52:J58,'UFCA - CR'!F52:F58,Criterios!A13,
'UFCA - CR'!L52:L58,Criterios!A19)
+SUMIFS('UFCA - CR'!J52:J58,'UFCA - CR'!F52:F58,Criterios!A14,
'UFCA - CR'!L52:L58,Criterios!A19)
+SUMIFS('UFCA - CR'!J52:J58,'UFCA - CR'!F52:F58,Criterios!A15,
'UFCA - CR'!L52:L58,Criterios!A19)
+SUMIFS('UFCA - CR'!J52:J58,'UFCA - CR'!F52:F58,Criterios!A4,
'UFCA - CR'!L52:L58,Criterios!A21)
+SUMIFS('UFCA - CR'!J52:J58,'UFCA - CR'!F52:F58,Criterios!A5,
'UFCA - CR'!L52:L58,Criterios!A21)
+SUMIFS('UFCA - CR'!J52:J58,'UFCA - CR'!F52:F58,Criterios!A6,
'UFCA - CR'!L52:L58,Criterios!A21)
+SUMIFS('UFCA - CR'!J52:J58,'UFCA - CR'!F52:F58,Criterios!A7,
'UFCA - CR'!L52:L58,Criterios!A21)
+SUMIFS('UFCA - CR'!J52:J58,'UFCA - CR'!F52:F58,Criterios!A8,
'UFCA - CR'!L52:L58,Criterios!A21)
+SUMIFS('UFCA - CR'!J52:J58,'UFCA - CR'!F52:F58,Criterios!A9,
'UFCA - CR'!L52:L58,Criterios!A21)
+SUMIFS('UFCA - CR'!J52:J58,'UFCA - CR'!F52:F58,Criterios!A10,
'UFCA - CR'!L52:L58,Criterios!A21)
+SUMIFS('UFCA - CR'!J52:J58,'UFCA - CR'!F52:F58,Criterios!A11,
'UFCA - CR'!L52:L58,Criterios!A21)
+SUMIFS('UFCA - CR'!J52:J58,'UFCA - CR'!F52:F58,Criterios!A12,
'UFCA - CR'!L52:L58,Criterios!A21)
+SUMIFS('UFCA - CR'!J52:J58,'UFCA - CR'!F52:F58,Criterios!A13,
'UFCA - CR'!L52:L58,Criterios!A21)
+SUMIFS('UFCA - CR'!J52:J58,'UFCA - CR'!F52:F58,Criterios!A14,
'UFCA - CR'!L52:L58,Criterios!A21)
+SUMIFS('UFCA - CR'!J52:J58,'UFCA - CR'!F52:F58,Criterios!A15,
'UFCA - CR'!L52:L58,Criterios!A21)</f>
        <v>462.26</v>
      </c>
      <c r="C9" s="36">
        <f>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CR'!L52:L58,Criterios!B21)
+SUMIFS('UFCA - CR'!J52:J58,'UFCA - CR'!F52:F58,Criterios!A5,
'UFCA - CR'!L52:L58,Criterios!B21)
+SUMIFS('UFCA - CR'!J52:J58,'UFCA - CR'!F52:F58,Criterios!A6,
'UFCA - CR'!L52:L58,Criterios!B21)
+SUMIFS('UFCA - CR'!J52:J58,'UFCA - CR'!F52:F58,Criterios!A8,
'UFCA - CR'!L52:L58,Criterios!B21)
+SUMIFS('UFCA - CR'!J52:J58,'UFCA - CR'!F52:F58,Criterios!A11,
'UFCA - CR'!L52:L58,Criterios!B21)
+SUMIFS('UFCA - CR'!J52:J58,'UFCA - CR'!F52:F58,Criterios!A12,
'UFCA - CR'!L52:L58,Criterios!B21)
+SUMIFS('UFCA - CR'!J52:J58,'UFCA - CR'!F52:F58,Criterios!A13,
'UFCA - CR'!L52:L58,Criterios!B21)
+SUMIFS('UFCA - CR'!J52:J58,'UFCA - CR'!F52:F58,Criterios!A14,
'UFCA - CR'!L52:L58,Criterios!B21)
+SUMIFS('UFCA - CR'!J52:J58,'UFCA - CR'!F52:F58,Criterios!B4,
'UFCA - CR'!L52:L58,Criterios!B19)
+SUMIFS('UFCA - CR'!J52:J58,'UFCA - CR'!F52:F58,Criterios!B5,
'UFCA - CR'!L52:L58,Criterios!B19)
+SUMIFS('UFCA - CR'!J52:J58,'UFCA - CR'!F52:F58,Criterios!B6,
'UFCA - CR'!L52:L58,Criterios!B19)
+SUMIFS('UFCA - CR'!J52:J58,'UFCA - CR'!F52:F58,Criterios!B7,
'UFCA - CR'!L52:L58,Criterios!B19)
+SUMIFS('UFCA - CR'!J52:J58,'UFCA - CR'!F52:F58,Criterios!B8,
'UFCA - CR'!L52:L58,Criterios!B19)</f>
        <v>0</v>
      </c>
      <c r="D9" s="15">
        <f>SUMIF('UFCA - CR'!F52:F58,Criterios!C4,'UFCA - CR'!J52:J58)</f>
        <v>0</v>
      </c>
      <c r="E9" s="15">
        <f>SUMIF('UFCA - CR'!F52:F58,Criterios!D4,'UFCA - CR'!J52:J58)</f>
        <v>0</v>
      </c>
      <c r="F9" s="15">
        <f>SUMIF('UFCA - CR'!F52:F58,Criterios!E4,'UFCA - CR'!J52:J58)</f>
        <v>0</v>
      </c>
      <c r="G9" s="15">
        <f>SUMIF('UFCA - CR'!F52:F58,Criterios!F4,'UFCA - CR'!J52:J58)</f>
        <v>2.15</v>
      </c>
      <c r="H9" s="15"/>
      <c r="I9" s="15">
        <f t="shared" si="0"/>
        <v>464.40999999999997</v>
      </c>
      <c r="K9">
        <f>SUMIF('UFCA - CR'!$C$4:$C$200,'TOTAL - CR'!A9,'UFCA - CR'!$J$4:$J$200)</f>
        <v>464.40999999999997</v>
      </c>
      <c r="L9" s="2">
        <f t="shared" si="1"/>
        <v>0</v>
      </c>
      <c r="M9" s="307" t="s">
        <v>1954</v>
      </c>
    </row>
    <row r="10" spans="1:13">
      <c r="A10" s="138" t="s">
        <v>1931</v>
      </c>
      <c r="B10" s="36">
        <f>SUMIFS('UFCA - CR'!J59:J71,'UFCA - CR'!F59:F71,Criterios!A4,
'UFCA - CR'!L59:L71,Criterios!A19)
+SUMIFS('UFCA - CR'!J59:J71,'UFCA - CR'!F59:F71,Criterios!A5,
'UFCA - CR'!L59:L71,Criterios!A19)
+SUMIFS('UFCA - CR'!J59:J71,'UFCA - CR'!F59:F71,Criterios!A6,
'UFCA - CR'!L59:L71,Criterios!A19)
+SUMIFS('UFCA - CR'!J59:J71,'UFCA - CR'!F59:F71,Criterios!A7,
'UFCA - CR'!L59:L71,Criterios!A19)
+SUMIFS('UFCA - CR'!J59:J71,'UFCA - CR'!F59:F71,Criterios!A8,
'UFCA - CR'!L59:L71,Criterios!A19)
+SUMIFS('UFCA - CR'!J59:J71,'UFCA - CR'!F59:F71,Criterios!A9,
'UFCA - CR'!L59:L71,Criterios!A19)
+SUMIFS('UFCA - CR'!J59:J71,'UFCA - CR'!F59:F71,Criterios!A10,
'UFCA - CR'!L59:L71,Criterios!A19)
+SUMIFS('UFCA - CR'!J59:J71,'UFCA - CR'!F59:F71,Criterios!A11,
'UFCA - CR'!L59:L71,Criterios!A19)
+SUMIFS('UFCA - CR'!J59:J71,'UFCA - CR'!F59:F71,Criterios!A12,
'UFCA - CR'!L59:L71,Criterios!A19)
+SUMIFS('UFCA - CR'!J59:J71,'UFCA - CR'!F59:F71,Criterios!A13,
'UFCA - CR'!L59:L71,Criterios!A19)
+SUMIFS('UFCA - CR'!J59:J71,'UFCA - CR'!F59:F71,Criterios!A14,
'UFCA - CR'!L59:L71,Criterios!A19)
+SUMIFS('UFCA - CR'!J59:J71,'UFCA - CR'!F59:F71,Criterios!A15,
'UFCA - CR'!L59:L71,Criterios!A19)
+SUMIFS('UFCA - CR'!J59:J71,'UFCA - CR'!F59:F71,Criterios!A4,
'UFCA - CR'!L59:L71,Criterios!A21)
+SUMIFS('UFCA - CR'!J59:J71,'UFCA - CR'!F59:F71,Criterios!A5,
'UFCA - CR'!L59:L71,Criterios!A21)
+SUMIFS('UFCA - CR'!J59:J71,'UFCA - CR'!F59:F71,Criterios!A6,
'UFCA - CR'!L59:L71,Criterios!A21)
+SUMIFS('UFCA - CR'!J59:J71,'UFCA - CR'!F59:F71,Criterios!A7,
'UFCA - CR'!L59:L71,Criterios!A21)
+SUMIFS('UFCA - CR'!J59:J71,'UFCA - CR'!F59:F71,Criterios!A8,
'UFCA - CR'!L59:L71,Criterios!A21)
+SUMIFS('UFCA - CR'!J59:J71,'UFCA - CR'!F59:F71,Criterios!A9,
'UFCA - CR'!L59:L71,Criterios!A21)
+SUMIFS('UFCA - CR'!J59:J71,'UFCA - CR'!F59:F71,Criterios!A10,
'UFCA - CR'!L59:L71,Criterios!A21)
+SUMIFS('UFCA - CR'!J59:J71,'UFCA - CR'!F59:F71,Criterios!A11,
'UFCA - CR'!L59:L71,Criterios!A21)
+SUMIFS('UFCA - CR'!J59:J71,'UFCA - CR'!F59:F71,Criterios!A12,
'UFCA - CR'!L59:L71,Criterios!A21)
+SUMIFS('UFCA - CR'!J59:J71,'UFCA - CR'!F59:F71,Criterios!A13,
'UFCA - CR'!L59:L71,Criterios!A21)
+SUMIFS('UFCA - CR'!J59:J71,'UFCA - CR'!F59:F71,Criterios!A14,
'UFCA - CR'!L59:L71,Criterios!A21)
+SUMIFS('UFCA - CR'!J59:J71,'UFCA - CR'!F59:F71,Criterios!A15,
'UFCA - CR'!L59:L71,Criterios!A21)</f>
        <v>11.4</v>
      </c>
      <c r="C10" s="36">
        <f>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CR'!L59:L71,Criterios!B21)
+SUMIFS('UFCA - CR'!J59:J71,'UFCA - CR'!F59:F71,Criterios!A5,
'UFCA - CR'!L59:L71,Criterios!B21)
+SUMIFS('UFCA - CR'!J59:J71,'UFCA - CR'!F59:F71,Criterios!A6,
'UFCA - CR'!L59:L71,Criterios!B21)
+SUMIFS('UFCA - CR'!J59:J71,'UFCA - CR'!F59:F71,Criterios!A8,
'UFCA - CR'!L59:L71,Criterios!B21)
+SUMIFS('UFCA - CR'!J59:J71,'UFCA - CR'!F59:F71,Criterios!A11,
'UFCA - CR'!L59:L71,Criterios!B21)
+SUMIFS('UFCA - CR'!J59:J71,'UFCA - CR'!F59:F71,Criterios!A12,
'UFCA - CR'!L59:L71,Criterios!B21)
+SUMIFS('UFCA - CR'!J59:J71,'UFCA - CR'!F59:F71,Criterios!A13,
'UFCA - CR'!L59:L71,Criterios!B21)
+SUMIFS('UFCA - CR'!J59:J71,'UFCA - CR'!F59:F71,Criterios!A14,
'UFCA - CR'!L59:L71,Criterios!B21)
+SUMIFS('UFCA - CR'!J59:J71,'UFCA - CR'!F59:F71,Criterios!B4,
'UFCA - CR'!L59:L71,Criterios!B19)
+SUMIFS('UFCA - CR'!J59:J71,'UFCA - CR'!F59:F71,Criterios!B5,
'UFCA - CR'!L59:L71,Criterios!B19)
+SUMIFS('UFCA - CR'!J59:J71,'UFCA - CR'!F59:F71,Criterios!B6,
'UFCA - CR'!L59:L71,Criterios!B19)
+SUMIFS('UFCA - CR'!J59:J71,'UFCA - CR'!F59:F71,Criterios!B7,
'UFCA - CR'!L59:L71,Criterios!B19)
+SUMIFS('UFCA - CR'!J59:J71,'UFCA - CR'!F59:F71,Criterios!B8,
'UFCA - CR'!L59:L71,Criterios!B19)</f>
        <v>0</v>
      </c>
      <c r="D10" s="15">
        <f>SUMIF('UFCA - CR'!F59:F71,Criterios!C4,'UFCA - CR'!J59:J71)</f>
        <v>437.73</v>
      </c>
      <c r="E10" s="15">
        <f>SUMIF('UFCA - CR'!F59:F71,Criterios!D4,'UFCA - CR'!J59:J71)</f>
        <v>0</v>
      </c>
      <c r="F10" s="15">
        <f>SUMIF('UFCA - CR'!F59:F71,Criterios!E4,'UFCA - CR'!J59:J71)</f>
        <v>268.14999999999998</v>
      </c>
      <c r="G10" s="15">
        <f>SUMIF('UFCA - CR'!F59:F71,Criterios!F4,'UFCA - CR'!J59:J71)</f>
        <v>37.4</v>
      </c>
      <c r="H10" s="15"/>
      <c r="I10" s="15">
        <f t="shared" si="0"/>
        <v>754.68</v>
      </c>
      <c r="K10">
        <f>SUMIF('UFCA - CR'!$C$4:$C$200,'TOTAL - CR'!A10,'UFCA - CR'!$J$4:$J$200)</f>
        <v>754.68</v>
      </c>
      <c r="L10" s="2">
        <f t="shared" si="1"/>
        <v>0</v>
      </c>
      <c r="M10" s="307" t="s">
        <v>1955</v>
      </c>
    </row>
    <row r="11" spans="1:13">
      <c r="A11" s="138" t="s">
        <v>1932</v>
      </c>
      <c r="B11" s="36">
        <f>SUMIFS('UFCA - CR'!J72:J79,'UFCA - CR'!F72:F79,Criterios!A4,
'UFCA - CR'!L72:L79,Criterios!A19)
+SUMIFS('UFCA - CR'!J72:J79,'UFCA - CR'!F72:F79,Criterios!A5,
'UFCA - CR'!L72:L79,Criterios!A19)
+SUMIFS('UFCA - CR'!J72:J79,'UFCA - CR'!F72:F79,Criterios!A6,
'UFCA - CR'!L72:L79,Criterios!A19)
+SUMIFS('UFCA - CR'!J72:J79,'UFCA - CR'!F72:F79,Criterios!A7,
'UFCA - CR'!L72:L79,Criterios!A19)
+SUMIFS('UFCA - CR'!J72:J79,'UFCA - CR'!F72:F79,Criterios!A8,
'UFCA - CR'!L72:L79,Criterios!A19)
+SUMIFS('UFCA - CR'!J72:J79,'UFCA - CR'!F72:F79,Criterios!A9,
'UFCA - CR'!L72:L79,Criterios!A19)
+SUMIFS('UFCA - CR'!J72:J79,'UFCA - CR'!F72:F79,Criterios!A10,
'UFCA - CR'!L72:L79,Criterios!A19)
+SUMIFS('UFCA - CR'!J72:J79,'UFCA - CR'!F72:F79,Criterios!A11,
'UFCA - CR'!L72:L79,Criterios!A19)
+SUMIFS('UFCA - CR'!J72:J79,'UFCA - CR'!F72:F79,Criterios!A12,
'UFCA - CR'!L72:L79,Criterios!A19)
+SUMIFS('UFCA - CR'!J72:J79,'UFCA - CR'!F72:F79,Criterios!A13,
'UFCA - CR'!L72:L79,Criterios!A19)
+SUMIFS('UFCA - CR'!J72:J79,'UFCA - CR'!F72:F79,Criterios!A14,
'UFCA - CR'!L72:L79,Criterios!A19)
+SUMIFS('UFCA - CR'!J72:J79,'UFCA - CR'!F72:F79,Criterios!A15,
'UFCA - CR'!L72:L79,Criterios!A19)
+SUMIFS('UFCA - CR'!J72:J79,'UFCA - CR'!F72:F79,Criterios!A4,
'UFCA - CR'!L72:L79,Criterios!A21)
+SUMIFS('UFCA - CR'!J72:J79,'UFCA - CR'!F72:F79,Criterios!A5,
'UFCA - CR'!L72:L79,Criterios!A21)
+SUMIFS('UFCA - CR'!J72:J79,'UFCA - CR'!F72:F79,Criterios!A6,
'UFCA - CR'!L72:L79,Criterios!A21)
+SUMIFS('UFCA - CR'!J72:J79,'UFCA - CR'!F72:F79,Criterios!A7,
'UFCA - CR'!L72:L79,Criterios!A21)
+SUMIFS('UFCA - CR'!J72:J79,'UFCA - CR'!F72:F79,Criterios!A8,
'UFCA - CR'!L72:L79,Criterios!A21)
+SUMIFS('UFCA - CR'!J72:J79,'UFCA - CR'!F72:F79,Criterios!A9,
'UFCA - CR'!L72:L79,Criterios!A21)
+SUMIFS('UFCA - CR'!J72:J79,'UFCA - CR'!F72:F79,Criterios!A10,
'UFCA - CR'!L72:L79,Criterios!A21)
+SUMIFS('UFCA - CR'!J72:J79,'UFCA - CR'!F72:F79,Criterios!A11,
'UFCA - CR'!L72:L79,Criterios!A21)
+SUMIFS('UFCA - CR'!J72:J79,'UFCA - CR'!F72:F79,Criterios!A12,
'UFCA - CR'!L72:L79,Criterios!A21)
+SUMIFS('UFCA - CR'!J72:J79,'UFCA - CR'!F72:F79,Criterios!A13,
'UFCA - CR'!L72:L79,Criterios!A21)
+SUMIFS('UFCA - CR'!J72:J79,'UFCA - CR'!F72:F79,Criterios!A14,
'UFCA - CR'!L72:L79,Criterios!A21)
+SUMIFS('UFCA - CR'!J72:J79,'UFCA - CR'!F72:F79,Criterios!A15,
'UFCA - CR'!L72:L79,Criterios!A21)</f>
        <v>71.83</v>
      </c>
      <c r="C11" s="36">
        <f>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CR'!L72:L79,Criterios!B21)
+SUMIFS('UFCA - CR'!J72:J79,'UFCA - CR'!F72:F79,Criterios!A5,
'UFCA - CR'!L72:L79,Criterios!B21)
+SUMIFS('UFCA - CR'!J72:J79,'UFCA - CR'!F72:F79,Criterios!A6,
'UFCA - CR'!L72:L79,Criterios!B21)
+SUMIFS('UFCA - CR'!J72:J79,'UFCA - CR'!F72:F79,Criterios!A8,
'UFCA - CR'!L72:L79,Criterios!B21)
+SUMIFS('UFCA - CR'!J72:J79,'UFCA - CR'!F72:F79,Criterios!A11,
'UFCA - CR'!L72:L79,Criterios!B21)
+SUMIFS('UFCA - CR'!J72:J79,'UFCA - CR'!F72:F79,Criterios!A12,
'UFCA - CR'!L72:L79,Criterios!B21)
+SUMIFS('UFCA - CR'!J72:J79,'UFCA - CR'!F72:F79,Criterios!A13,
'UFCA - CR'!L72:L79,Criterios!B21)
+SUMIFS('UFCA - CR'!J72:J79,'UFCA - CR'!F72:F79,Criterios!A14,
'UFCA - CR'!L72:L79,Criterios!B21)
+SUMIFS('UFCA - CR'!J72:J79,'UFCA - CR'!F72:F79,Criterios!B4,
'UFCA - CR'!L72:L79,Criterios!B19)
+SUMIFS('UFCA - CR'!J72:J79,'UFCA - CR'!F72:F79,Criterios!B5,
'UFCA - CR'!L72:L79,Criterios!B19)
+SUMIFS('UFCA - CR'!J72:J79,'UFCA - CR'!F72:F79,Criterios!B6,
'UFCA - CR'!L72:L79,Criterios!B19)
+SUMIFS('UFCA - CR'!J72:J79,'UFCA - CR'!F72:F79,Criterios!B7,
'UFCA - CR'!L72:L79,Criterios!B19)
+SUMIFS('UFCA - CR'!J72:J79,'UFCA - CR'!F72:F79,Criterios!B8,
'UFCA - CR'!L72:L79,Criterios!B19)</f>
        <v>0</v>
      </c>
      <c r="D11" s="15">
        <f>SUMIF('UFCA - CR'!F72:F79,Criterios!C4,'UFCA - CR'!J72:J79)</f>
        <v>62.3</v>
      </c>
      <c r="E11" s="36">
        <f>SUMIF('UFCA - CR'!F72:F79,Criterios!D4,'UFCA - CR'!J72:J79)
+SUMIF('UFCA - CR'!F72:F79,Criterios!D5,'UFCA - CR'!J72:J79)</f>
        <v>223.74</v>
      </c>
      <c r="F11" s="15">
        <f>SUMIF('UFCA - CR'!F72:F79,Criterios!E4,'UFCA - CR'!J72:J79)</f>
        <v>7.5</v>
      </c>
      <c r="G11" s="15">
        <f>SUMIF('UFCA - CR'!F72:F79,Criterios!F4,'UFCA - CR'!J72:J79)</f>
        <v>30.6</v>
      </c>
      <c r="H11" s="15"/>
      <c r="I11" s="15">
        <f t="shared" si="0"/>
        <v>395.97</v>
      </c>
      <c r="K11">
        <f>SUMIF('UFCA - CR'!$C$4:$C$200,'TOTAL - CR'!A11,'UFCA - CR'!$J$4:$J$200)</f>
        <v>395.97</v>
      </c>
      <c r="L11" s="2">
        <f t="shared" si="1"/>
        <v>0</v>
      </c>
      <c r="M11" s="307" t="s">
        <v>1956</v>
      </c>
    </row>
    <row r="12" spans="1:13">
      <c r="A12" s="138" t="s">
        <v>1933</v>
      </c>
      <c r="B12" s="36">
        <f>SUMIFS('UFCA - CR'!J80:J183,'UFCA - CR'!F80:F183,Criterios!A4,
'UFCA - CR'!L80:L183,Criterios!A19)
+SUMIFS('UFCA - CR'!J80:J183,'UFCA - CR'!F80:F183,Criterios!A5,
'UFCA - CR'!L80:L183,Criterios!A19)
+SUMIFS('UFCA - CR'!J80:J183,'UFCA - CR'!F80:F183,Criterios!A6,
'UFCA - CR'!L80:L183,Criterios!A19)
+SUMIFS('UFCA - CR'!J80:J183,'UFCA - CR'!F80:F183,Criterios!A7,
'UFCA - CR'!L80:L183,Criterios!A19)
+SUMIFS('UFCA - CR'!J80:J183,'UFCA - CR'!F80:F183,Criterios!A8,
'UFCA - CR'!L80:L183,Criterios!A19)
+SUMIFS('UFCA - CR'!J80:J183,'UFCA - CR'!F80:F183,Criterios!A9,
'UFCA - CR'!L80:L183,Criterios!A19)
+SUMIFS('UFCA - CR'!J80:J183,'UFCA - CR'!F80:F183,Criterios!A10,
'UFCA - CR'!L80:L183,Criterios!A19)
+SUMIFS('UFCA - CR'!J80:J183,'UFCA - CR'!F80:F183,Criterios!A11,
'UFCA - CR'!L80:L183,Criterios!A19)
+SUMIFS('UFCA - CR'!J80:J183,'UFCA - CR'!F80:F183,Criterios!A12,
'UFCA - CR'!L80:L183,Criterios!A19)
+SUMIFS('UFCA - CR'!J80:J183,'UFCA - CR'!F80:F183,Criterios!A13,
'UFCA - CR'!L80:L183,Criterios!A19)
+SUMIFS('UFCA - CR'!J80:J183,'UFCA - CR'!F80:F183,Criterios!A14,
'UFCA - CR'!L80:L183,Criterios!A19)
+SUMIFS('UFCA - CR'!J80:J183,'UFCA - CR'!F80:F183,Criterios!A15,
'UFCA - CR'!L80:L183,Criterios!A19)
+SUMIFS('UFCA - CR'!J80:J183,'UFCA - CR'!F80:F183,Criterios!A4,
'UFCA - CR'!L80:L183,Criterios!A21)
+SUMIFS('UFCA - CR'!J80:J183,'UFCA - CR'!F80:F183,Criterios!A5,
'UFCA - CR'!L80:L183,Criterios!A21)
+SUMIFS('UFCA - CR'!J80:J183,'UFCA - CR'!F80:F183,Criterios!A6,
'UFCA - CR'!L80:L183,Criterios!A21)
+SUMIFS('UFCA - CR'!J80:J183,'UFCA - CR'!F80:F183,Criterios!A7,
'UFCA - CR'!L80:L183,Criterios!A21)
+SUMIFS('UFCA - CR'!J80:J183,'UFCA - CR'!F80:F183,Criterios!A8,
'UFCA - CR'!L80:L183,Criterios!A21)
+SUMIFS('UFCA - CR'!J80:J183,'UFCA - CR'!F80:F183,Criterios!A9,
'UFCA - CR'!L80:L183,Criterios!A21)
+SUMIFS('UFCA - CR'!J80:J183,'UFCA - CR'!F80:F183,Criterios!A10,
'UFCA - CR'!L80:L183,Criterios!A21)
+SUMIFS('UFCA - CR'!J80:J183,'UFCA - CR'!F80:F183,Criterios!A11,
'UFCA - CR'!L80:L183,Criterios!A21)
+SUMIFS('UFCA - CR'!J80:J183,'UFCA - CR'!F80:F183,Criterios!A12,
'UFCA - CR'!L80:L183,Criterios!A21)
+SUMIFS('UFCA - CR'!J80:J183,'UFCA - CR'!F80:F183,Criterios!A13,
'UFCA - CR'!L80:L183,Criterios!A21)
+SUMIFS('UFCA - CR'!J80:J183,'UFCA - CR'!F80:F183,Criterios!A14,
'UFCA - CR'!L80:L183,Criterios!A21)
+SUMIFS('UFCA - CR'!J80:J183,'UFCA - CR'!F80:F183,Criterios!A15,
'UFCA - CR'!L80:L183,Criterios!A21)</f>
        <v>2227.8999999999996</v>
      </c>
      <c r="C12" s="36">
        <f>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CR'!L80:L183,Criterios!B21)
+SUMIFS('UFCA - CR'!J80:J183,'UFCA - CR'!F80:F183,Criterios!A5,
'UFCA - CR'!L80:L183,Criterios!B21)
+SUMIFS('UFCA - CR'!J80:J183,'UFCA - CR'!F80:F183,Criterios!A6,
'UFCA - CR'!L80:L183,Criterios!B21)
+SUMIFS('UFCA - CR'!J80:J183,'UFCA - CR'!F80:F183,Criterios!A8,
'UFCA - CR'!L80:L183,Criterios!B21)
+SUMIFS('UFCA - CR'!J80:J183,'UFCA - CR'!F80:F183,Criterios!A11,
'UFCA - CR'!L80:L183,Criterios!B21)
+SUMIFS('UFCA - CR'!J80:J183,'UFCA - CR'!F80:F183,Criterios!A12,
'UFCA - CR'!L80:L183,Criterios!B21)
+SUMIFS('UFCA - CR'!J80:J183,'UFCA - CR'!F80:F183,Criterios!A13,
'UFCA - CR'!L80:L183,Criterios!B21)
+SUMIFS('UFCA - CR'!J80:J183,'UFCA - CR'!F80:F183,Criterios!A14,
'UFCA - CR'!L80:L183,Criterios!B21)
+SUMIFS('UFCA - CR'!J80:J183,'UFCA - CR'!F80:F183,Criterios!B4,
'UFCA - CR'!L80:L183,Criterios!B19)
+SUMIFS('UFCA - CR'!J80:J183,'UFCA - CR'!F80:F183,Criterios!B5,
'UFCA - CR'!L80:L183,Criterios!B19)
+SUMIFS('UFCA - CR'!J80:J183,'UFCA - CR'!F80:F183,Criterios!B6,
'UFCA - CR'!L80:L183,Criterios!B19)
+SUMIFS('UFCA - CR'!J80:J183,'UFCA - CR'!F80:F183,Criterios!B7,
'UFCA - CR'!L80:L183,Criterios!B19)
+SUMIFS('UFCA - CR'!J80:J183,'UFCA - CR'!F80:F183,Criterios!B8,
'UFCA - CR'!L80:L183,Criterios!B19)</f>
        <v>28.060000000000002</v>
      </c>
      <c r="D12" s="15">
        <f>SUMIF('UFCA - CR'!F80:F183,Criterios!C4,'UFCA - CR'!J80:J183)</f>
        <v>0</v>
      </c>
      <c r="E12" s="15">
        <f>SUMIF('UFCA - CR'!F80:F183,Criterios!D4,'UFCA - CR'!J80:J183)</f>
        <v>0</v>
      </c>
      <c r="F12" s="15">
        <f>SUMIF('UFCA - CR'!F80:F183,Criterios!E4,'UFCA - CR'!J80:J183)</f>
        <v>702.62999999999977</v>
      </c>
      <c r="G12" s="15">
        <f>SUMIF('UFCA - CR'!F80:F183,Criterios!F4,'UFCA - CR'!J80:J183)</f>
        <v>133.5</v>
      </c>
      <c r="H12" s="15"/>
      <c r="I12" s="15">
        <f t="shared" si="0"/>
        <v>3092.0899999999992</v>
      </c>
      <c r="K12">
        <f>SUMIF('UFCA - CR'!$C$4:$C$200,'TOTAL - CR'!A12,'UFCA - CR'!$J$4:$J$200)</f>
        <v>3092.0899999999992</v>
      </c>
      <c r="L12" s="2">
        <f t="shared" si="1"/>
        <v>0</v>
      </c>
      <c r="M12" s="307" t="s">
        <v>1957</v>
      </c>
    </row>
    <row r="13" spans="1:13">
      <c r="A13" s="138" t="s">
        <v>1233</v>
      </c>
      <c r="B13" s="15">
        <f>SUMIF('UFCA - CR'!F184:F192,Criterios!A9,'UFCA - CR'!J184:J192)</f>
        <v>2.5299999999999998</v>
      </c>
      <c r="C13" s="15"/>
      <c r="D13" s="15"/>
      <c r="E13" s="15"/>
      <c r="F13" s="36">
        <f>SUMIF('UFCA - CR'!F184:F192,Criterios!E4,'UFCA - CR'!J184:J192)
+SUMIF('UFCA - CR'!F184:F192,Criterios!E5,'UFCA - CR'!J184:J192)
+SUMIF('UFCA - CR'!F184:F192,Criterios!E6,'UFCA - CR'!J184:J192)</f>
        <v>672.87</v>
      </c>
      <c r="G13" s="15">
        <f>SUMIF('UFCA - CR'!F184:F192,Criterios!F4,'UFCA - CR'!J184:J192)</f>
        <v>37.08</v>
      </c>
      <c r="H13" s="15"/>
      <c r="I13" s="15">
        <f t="shared" si="0"/>
        <v>712.48</v>
      </c>
      <c r="K13">
        <f>SUMIF('UFCA - CR'!$C$4:$C$200,'TOTAL - CR'!A13,'UFCA - CR'!$J$4:$J$200)</f>
        <v>712.47999999999979</v>
      </c>
      <c r="L13" s="2">
        <f t="shared" si="1"/>
        <v>0</v>
      </c>
      <c r="M13" s="307" t="s">
        <v>1958</v>
      </c>
    </row>
    <row r="14" spans="1:13">
      <c r="A14" s="138" t="s">
        <v>606</v>
      </c>
      <c r="B14" s="15">
        <f>SUMIF('UFCA - CR'!F4:F5,Criterios!A4,'UFCA - CR'!J4:J5)</f>
        <v>5.6</v>
      </c>
      <c r="C14" s="15"/>
      <c r="D14" s="15"/>
      <c r="E14" s="15"/>
      <c r="F14" s="15"/>
      <c r="G14" s="15">
        <f>SUMIF('UFCA - CR'!F4:F5,Criterios!F4,'UFCA - CR'!J4:J5)</f>
        <v>1.7</v>
      </c>
      <c r="H14" s="15"/>
      <c r="I14" s="15">
        <f t="shared" si="0"/>
        <v>7.3</v>
      </c>
      <c r="K14">
        <f>SUMIF('UFCA - CR'!$C$4:$C$200,'TOTAL - CR'!A14,'UFCA - CR'!$J$4:$J$200)</f>
        <v>7.3</v>
      </c>
      <c r="L14" s="2">
        <f t="shared" si="1"/>
        <v>0</v>
      </c>
      <c r="M14" s="307" t="s">
        <v>1959</v>
      </c>
    </row>
    <row r="15" spans="1:13">
      <c r="A15" s="138" t="s">
        <v>246</v>
      </c>
      <c r="B15" s="15">
        <f>SUM('UFCA - CR'!J193:J194)</f>
        <v>1264.82</v>
      </c>
      <c r="C15" s="15" t="s">
        <v>100</v>
      </c>
      <c r="D15" s="15" t="s">
        <v>100</v>
      </c>
      <c r="E15" s="15" t="s">
        <v>100</v>
      </c>
      <c r="F15" s="15" t="s">
        <v>100</v>
      </c>
      <c r="G15" s="15" t="s">
        <v>100</v>
      </c>
      <c r="H15" s="15"/>
      <c r="I15" s="15">
        <f t="shared" si="0"/>
        <v>1264.82</v>
      </c>
      <c r="K15">
        <f>SUMIF('UFCA - CR'!$C$4:$C$200,'TOTAL - CR'!A15,'UFCA - CR'!$J$4:$J$200)</f>
        <v>1264.82</v>
      </c>
      <c r="L15" s="2">
        <f t="shared" si="1"/>
        <v>0</v>
      </c>
      <c r="M15" s="307" t="s">
        <v>1960</v>
      </c>
    </row>
    <row r="16" spans="1:13">
      <c r="A16" s="139" t="s">
        <v>563</v>
      </c>
      <c r="B16" s="33">
        <f t="shared" ref="B16:G16" si="2">SUM(B6:B15)</f>
        <v>4390.46</v>
      </c>
      <c r="C16" s="33">
        <f t="shared" si="2"/>
        <v>35.160000000000004</v>
      </c>
      <c r="D16" s="33">
        <f t="shared" si="2"/>
        <v>874.4899999999999</v>
      </c>
      <c r="E16" s="33">
        <f t="shared" si="2"/>
        <v>233.31</v>
      </c>
      <c r="F16" s="33">
        <f t="shared" si="2"/>
        <v>2345.2499999999995</v>
      </c>
      <c r="G16" s="33">
        <f t="shared" si="2"/>
        <v>320.86</v>
      </c>
      <c r="H16" s="33"/>
      <c r="I16" s="15">
        <f t="shared" ref="I16" si="3">SUM(B16:H16)</f>
        <v>8199.5300000000007</v>
      </c>
    </row>
    <row r="17" spans="1:13">
      <c r="A17" s="120"/>
      <c r="E17" s="145"/>
      <c r="F17" s="145"/>
    </row>
    <row r="18" spans="1:13">
      <c r="A18" s="685" t="s">
        <v>611</v>
      </c>
      <c r="B18" s="675"/>
      <c r="C18" s="675"/>
      <c r="D18" s="675"/>
      <c r="E18" s="675"/>
    </row>
    <row r="19" spans="1:13">
      <c r="A19" s="685" t="s">
        <v>600</v>
      </c>
      <c r="B19" s="38" t="s">
        <v>601</v>
      </c>
      <c r="C19" s="38" t="s">
        <v>615</v>
      </c>
      <c r="D19" s="38" t="s">
        <v>619</v>
      </c>
      <c r="E19" s="38" t="s">
        <v>602</v>
      </c>
    </row>
    <row r="20" spans="1:13">
      <c r="A20" s="685"/>
      <c r="B20" s="15">
        <f>SUMIF('UFCA - CR'!F197:F203,Criterios!I4,'UFCA - CR'!J197:J203)</f>
        <v>3646.64</v>
      </c>
      <c r="C20" s="15">
        <f ca="1">SUMIF('UFCA - CR'!F197:F203,Criterios!I5,'UFCA - CR'!J197:J200)</f>
        <v>3395.1400000000003</v>
      </c>
      <c r="D20" s="15">
        <f>SUMIF('UFCA - CR'!F197:F203,Criterios!I7,'UFCA - CR'!J197:J203)</f>
        <v>7488.26</v>
      </c>
      <c r="E20" s="15">
        <f>SUMIF('UFCA - CR'!F197:F203,Criterios!I6,'UFCA - CR'!J197:J203)</f>
        <v>1913.59</v>
      </c>
      <c r="J20" s="2">
        <f ca="1">SUM(B20:E20)</f>
        <v>16443.63</v>
      </c>
      <c r="K20" s="2">
        <f>SUM('UFCA - CR'!J197:J203)</f>
        <v>16443.63</v>
      </c>
      <c r="L20" s="2">
        <f ca="1">K20-J20</f>
        <v>0</v>
      </c>
    </row>
    <row r="21" spans="1:13" ht="15" customHeight="1">
      <c r="A21" s="120"/>
    </row>
    <row r="22" spans="1:13" ht="25.5">
      <c r="A22" s="38"/>
      <c r="B22" s="31" t="s">
        <v>1998</v>
      </c>
      <c r="C22" s="31" t="s">
        <v>1999</v>
      </c>
      <c r="D22" s="31" t="s">
        <v>2000</v>
      </c>
      <c r="E22" s="31" t="s">
        <v>2001</v>
      </c>
    </row>
    <row r="23" spans="1:13">
      <c r="A23" s="38" t="s">
        <v>1997</v>
      </c>
      <c r="B23" s="18">
        <f>'UFCA - Terrenos'!D6</f>
        <v>161040.85999999999</v>
      </c>
      <c r="C23" s="18">
        <f>TRUNC(SUM('UFCA - edificações'!E32:E46),2)</f>
        <v>11686.09</v>
      </c>
      <c r="D23" s="15">
        <f ca="1">SUM(B20:E20)</f>
        <v>16443.63</v>
      </c>
      <c r="E23" s="15">
        <f ca="1">TRUNC(B23-C23-D23,2)</f>
        <v>132911.14000000001</v>
      </c>
    </row>
    <row r="25" spans="1:13" ht="15.75" thickBot="1">
      <c r="A25" s="120"/>
    </row>
    <row r="26" spans="1:13">
      <c r="A26" s="689" t="s">
        <v>837</v>
      </c>
      <c r="B26" s="690"/>
      <c r="C26" s="690"/>
      <c r="D26" s="690"/>
      <c r="E26" s="691"/>
      <c r="F26" s="692"/>
      <c r="G26" s="692"/>
      <c r="H26" s="693"/>
      <c r="I26" s="692"/>
    </row>
    <row r="27" spans="1:13">
      <c r="A27" s="694" t="s">
        <v>611</v>
      </c>
      <c r="B27" s="693"/>
      <c r="C27" s="693"/>
      <c r="D27" s="693"/>
      <c r="E27" s="695"/>
      <c r="F27" s="692"/>
      <c r="G27" s="692"/>
      <c r="H27" s="693"/>
      <c r="I27" s="692"/>
    </row>
    <row r="28" spans="1:13">
      <c r="A28" s="659" t="s">
        <v>2504</v>
      </c>
      <c r="B28" s="660"/>
      <c r="C28" s="660"/>
      <c r="D28" s="660"/>
      <c r="E28" s="661"/>
      <c r="F28" s="660"/>
      <c r="G28" s="660"/>
      <c r="H28" s="660"/>
      <c r="I28" s="660"/>
    </row>
    <row r="29" spans="1:13">
      <c r="A29" s="682" t="s">
        <v>2506</v>
      </c>
      <c r="B29" s="683"/>
      <c r="C29" s="683"/>
      <c r="D29" s="683"/>
      <c r="E29" s="683"/>
      <c r="F29" s="683"/>
      <c r="G29" s="683"/>
      <c r="H29" s="683"/>
      <c r="I29" s="684"/>
    </row>
    <row r="30" spans="1:13">
      <c r="A30" s="678" t="s">
        <v>70</v>
      </c>
      <c r="B30" s="679" t="s">
        <v>285</v>
      </c>
      <c r="C30" s="679"/>
      <c r="D30" s="679"/>
      <c r="E30" s="680"/>
      <c r="F30" s="679"/>
      <c r="G30" s="679"/>
      <c r="H30" s="345"/>
      <c r="I30" s="681" t="s">
        <v>550</v>
      </c>
    </row>
    <row r="31" spans="1:13" ht="54" customHeight="1">
      <c r="A31" s="678"/>
      <c r="B31" s="345" t="s">
        <v>551</v>
      </c>
      <c r="C31" s="345" t="s">
        <v>833</v>
      </c>
      <c r="D31" s="345" t="s">
        <v>1920</v>
      </c>
      <c r="E31" s="345" t="s">
        <v>553</v>
      </c>
      <c r="F31" s="345" t="s">
        <v>1905</v>
      </c>
      <c r="G31" s="346" t="s">
        <v>555</v>
      </c>
      <c r="H31" s="345" t="s">
        <v>1990</v>
      </c>
      <c r="I31" s="681"/>
    </row>
    <row r="32" spans="1:13">
      <c r="A32" s="138" t="s">
        <v>1927</v>
      </c>
      <c r="B32" s="15">
        <f>SUMIFS('UFCA - CR'!J6:J18,'UFCA - CR'!F6:F18,Criterios!A4,
'UFCA - CR'!L6:L18,Criterios!A19)
+SUMIFS('UFCA - CR'!J6:J18,'UFCA - CR'!F6:F18,Criterios!A5,
'UFCA - CR'!L6:L18,Criterios!A19)
+SUMIFS('UFCA - CR'!J6:J18,'UFCA - CR'!F6:F18,Criterios!A6,
'UFCA - CR'!L6:L18,Criterios!A19)
+SUMIFS('UFCA - CR'!J6:J18,'UFCA - CR'!F6:F18,Criterios!A7,
'UFCA - CR'!L6:L18,Criterios!A19)
+SUMIFS('UFCA - CR'!J6:J18,'UFCA - CR'!F6:F18,Criterios!A8,
'UFCA - CR'!L6:L18,Criterios!A19)
+SUMIFS('UFCA - CR'!J6:J18,'UFCA - CR'!F6:F18,Criterios!A9,
'UFCA - CR'!L6:L18,Criterios!A19)
+SUMIFS('UFCA - CR'!J6:J18,'UFCA - CR'!F6:F18,Criterios!A10,
'UFCA - CR'!L6:L18,Criterios!A19)
+SUMIFS('UFCA - CR'!J6:J18,'UFCA - CR'!F6:F18,Criterios!A11,
'UFCA - CR'!L6:L18,Criterios!A19)
+SUMIFS('UFCA - CR'!J6:J18,'UFCA - CR'!F6:F18,Criterios!A12,
'UFCA - CR'!L6:L18,Criterios!A19)
+SUMIFS('UFCA - CR'!J6:J18,'UFCA - CR'!F6:F18,Criterios!A13,
'UFCA - CR'!L6:L18,Criterios!A19)
+SUMIFS('UFCA - CR'!J6:J18,'UFCA - CR'!F6:F18,Criterios!A14,
'UFCA - CR'!L6:L18,Criterios!A19)
+SUMIFS('UFCA - CR'!J6:J18,'UFCA - CR'!F6:F18,Criterios!A15,
'UFCA - CR'!L6:L18,Criterios!A19)
+SUMIFS('UFCA - CR'!J6:J18,'UFCA - CR'!F6:F18,Criterios!A4,
'UFCA - CR'!L6:L18,Criterios!A21)
+SUMIFS('UFCA - CR'!J6:J18,'UFCA - CR'!F6:F18,Criterios!A5,
'UFCA - CR'!L6:L18,Criterios!A21)
+SUMIFS('UFCA - CR'!J6:J18,'UFCA - CR'!F6:F18,Criterios!A6,
'UFCA - CR'!L6:L18,Criterios!A21)
+SUMIFS('UFCA - CR'!J6:J18,'UFCA - CR'!F6:F18,Criterios!A7,
'UFCA - CR'!L6:L18,Criterios!A21)
+SUMIFS('UFCA - CR'!J6:J18,'UFCA - CR'!F6:F18,Criterios!A8,
'UFCA - CR'!L6:L18,Criterios!A21)
+SUMIFS('UFCA - CR'!J6:J18,'UFCA - CR'!F6:F18,Criterios!A9,
'UFCA - CR'!L6:L18,Criterios!A21)
+SUMIFS('UFCA - CR'!J6:J18,'UFCA - CR'!F6:F18,Criterios!A10,
'UFCA - CR'!L6:L18,Criterios!A21)
+SUMIFS('UFCA - CR'!J6:J18,'UFCA - CR'!F6:F18,Criterios!A11,
'UFCA - CR'!L6:L18,Criterios!A21)
+SUMIFS('UFCA - CR'!J6:J18,'UFCA - CR'!F6:F18,Criterios!A12,
'UFCA - CR'!L6:L18,Criterios!A21)
+SUMIFS('UFCA - CR'!J6:J18,'UFCA - CR'!F6:F18,Criterios!A13,
'UFCA - CR'!L6:L18,Criterios!A21)
+SUMIFS('UFCA - CR'!J6:J18,'UFCA - CR'!F6:F18,Criterios!A14,
'UFCA - CR'!L6:L18,Criterios!A21)
+SUMIFS('UFCA - CR'!J6:J18,'UFCA - CR'!F6:F18,Criterios!A15,
'UFCA - CR'!L6:L18,Criterios!A21)</f>
        <v>94.5</v>
      </c>
      <c r="C32" s="15">
        <f>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CR'!L6:L18,Criterios!B21)
+SUMIFS('UFCA - CR'!J6:J18,'UFCA - CR'!F6:F18,Criterios!A5,
'UFCA - CR'!L6:L18,Criterios!B21)
+SUMIFS('UFCA - CR'!J6:J18,'UFCA - CR'!F6:F18,Criterios!A6,
'UFCA - CR'!L6:L18,Criterios!B21)
+SUMIFS('UFCA - CR'!J6:J18,'UFCA - CR'!F6:F18,Criterios!A8,
'UFCA - CR'!L6:L18,Criterios!B21)
+SUMIFS('UFCA - CR'!J6:J18,'UFCA - CR'!F6:F18,Criterios!A11,
'UFCA - CR'!L6:L18,Criterios!B21)
+SUMIFS('UFCA - CR'!J6:J18,'UFCA - CR'!F6:F18,Criterios!A12,
'UFCA - CR'!L6:L18,Criterios!B21)
+SUMIFS('UFCA - CR'!J6:J18,'UFCA - CR'!F6:F18,Criterios!A13,
'UFCA - CR'!L6:L18,Criterios!B21)
+SUMIFS('UFCA - CR'!J6:J18,'UFCA - CR'!F6:F18,Criterios!A14,
'UFCA - CR'!L6:L18,Criterios!B21)
+SUMIFS('UFCA - CR'!J6:J18,'UFCA - CR'!F6:F18,Criterios!B4,
'UFCA - CR'!L6:L18,Criterios!B19)
+SUMIFS('UFCA - CR'!J6:J18,'UFCA - CR'!F6:F18,Criterios!B5,
'UFCA - CR'!L6:L18,Criterios!B19)
+SUMIFS('UFCA - CR'!J6:J18,'UFCA - CR'!F6:F18,Criterios!B6,
'UFCA - CR'!L6:L18,Criterios!B19)
+SUMIFS('UFCA - CR'!J6:J18,'UFCA - CR'!F6:F18,Criterios!B7,
'UFCA - CR'!L6:L18,Criterios!B19)
+SUMIFS('UFCA - CR'!J6:J18,'UFCA - CR'!F6:F18,Criterios!B8,
'UFCA - CR'!L6:L18,Criterios!B19)</f>
        <v>7.1</v>
      </c>
      <c r="D32" s="15">
        <f>SUMIF('UFCA - CR'!F6:F18,Criterios!C4,'UFCA - CR'!J6:J18)</f>
        <v>0</v>
      </c>
      <c r="E32" s="15">
        <f>SUMIF('UFCA - CR'!F6:F18,Criterios!D4,'UFCA - CR'!J6:J18)</f>
        <v>9.57</v>
      </c>
      <c r="F32" s="15">
        <f>SUMIF('UFCA - CR'!F6:F18,Criterios!E4,'UFCA - CR'!J6:J18)</f>
        <v>238.45000000000002</v>
      </c>
      <c r="G32" s="15">
        <f>SUMIF('UFCA - CR'!F6:F18,Criterios!F4,'UFCA - CR'!J6:J18)</f>
        <v>20.830000000000002</v>
      </c>
      <c r="H32" s="15"/>
      <c r="I32" s="15">
        <f t="shared" ref="I32:I41" si="4">SUM(B6:H6)</f>
        <v>370.45</v>
      </c>
      <c r="K32">
        <f>SUMIF('UFCA - CR'!$C$4:$C$200,'TOTAL - CR'!A6,'UFCA - CR'!$J$4:$J$200)</f>
        <v>370.45</v>
      </c>
      <c r="L32" s="2">
        <f t="shared" ref="L32:L41" si="5">K6-I6</f>
        <v>0</v>
      </c>
      <c r="M32" s="307" t="s">
        <v>1951</v>
      </c>
    </row>
    <row r="33" spans="1:13">
      <c r="A33" s="138" t="s">
        <v>1928</v>
      </c>
      <c r="B33" s="15">
        <f>SUMIFS('UFCA - CR'!J19:J28,'UFCA - CR'!F19:F28,Criterios!A4,
'UFCA - CR'!L19:L28,Criterios!A19)
+SUMIFS('UFCA - CR'!J19:J28,'UFCA - CR'!F19:F28,Criterios!A5,
'UFCA - CR'!L19:L28,Criterios!A19)
+SUMIFS('UFCA - CR'!J19:J28,'UFCA - CR'!F19:F28,Criterios!A6,
'UFCA - CR'!L19:L28,Criterios!A19)
+SUMIFS('UFCA - CR'!J19:J28,'UFCA - CR'!F19:F28,Criterios!A7,
'UFCA - CR'!L19:L28,Criterios!A19)
+SUMIFS('UFCA - CR'!J19:J28,'UFCA - CR'!F19:F28,Criterios!A8,
'UFCA - CR'!L19:L28,Criterios!A19)
+SUMIFS('UFCA - CR'!J19:J28,'UFCA - CR'!F19:F28,Criterios!A9,
'UFCA - CR'!L19:L28,Criterios!A19)
+SUMIFS('UFCA - CR'!J19:J28,'UFCA - CR'!F19:F28,Criterios!A10,
'UFCA - CR'!L19:L28,Criterios!A19)
+SUMIFS('UFCA - CR'!J19:J28,'UFCA - CR'!F19:F28,Criterios!A11,
'UFCA - CR'!L19:L28,Criterios!A19)
+SUMIFS('UFCA - CR'!J19:J28,'UFCA - CR'!F19:F28,Criterios!A12,
'UFCA - CR'!L19:L28,Criterios!A19)
+SUMIFS('UFCA - CR'!J19:J28,'UFCA - CR'!F19:F28,Criterios!A13,
'UFCA - CR'!L19:L28,Criterios!A19)
+SUMIFS('UFCA - CR'!J19:J28,'UFCA - CR'!F19:F28,Criterios!A14,
'UFCA - CR'!L19:L28,Criterios!A19)
+SUMIFS('UFCA - CR'!J19:J28,'UFCA - CR'!F19:F28,Criterios!A15,
'UFCA - CR'!L19:L28,Criterios!A19)
+SUMIFS('UFCA - CR'!J19:J28,'UFCA - CR'!F19:F28,Criterios!A4,
'UFCA - CR'!L19:L28,Criterios!A21)
+SUMIFS('UFCA - CR'!J19:J28,'UFCA - CR'!F19:F28,Criterios!A5,
'UFCA - CR'!L19:L28,Criterios!A21)
+SUMIFS('UFCA - CR'!J19:J28,'UFCA - CR'!F19:F28,Criterios!A6,
'UFCA - CR'!L19:L28,Criterios!A21)
+SUMIFS('UFCA - CR'!J19:J28,'UFCA - CR'!F19:F28,Criterios!A7,
'UFCA - CR'!L19:L28,Criterios!A21)
+SUMIFS('UFCA - CR'!J19:J28,'UFCA - CR'!F19:F28,Criterios!A8,
'UFCA - CR'!L19:L28,Criterios!A21)
+SUMIFS('UFCA - CR'!J19:J28,'UFCA - CR'!F19:F28,Criterios!A9,
'UFCA - CR'!L19:L28,Criterios!A21)
+SUMIFS('UFCA - CR'!J19:J28,'UFCA - CR'!F19:F28,Criterios!A10,
'UFCA - CR'!L19:L28,Criterios!A21)
+SUMIFS('UFCA - CR'!J19:J28,'UFCA - CR'!F19:F28,Criterios!A11,
'UFCA - CR'!L19:L28,Criterios!A21)
+SUMIFS('UFCA - CR'!J19:J28,'UFCA - CR'!F19:F28,Criterios!A12,
'UFCA - CR'!L19:L28,Criterios!A21)
+SUMIFS('UFCA - CR'!J19:J28,'UFCA - CR'!F19:F28,Criterios!A13,
'UFCA - CR'!L19:L28,Criterios!A21)
+SUMIFS('UFCA - CR'!J19:J28,'UFCA - CR'!F19:F28,Criterios!A14,
'UFCA - CR'!L19:L28,Criterios!A21)
+SUMIFS('UFCA - CR'!J19:J28,'UFCA - CR'!F19:F28,Criterios!A15,
'UFCA - CR'!L19:L28,Criterios!A21)</f>
        <v>88.2</v>
      </c>
      <c r="C33" s="15">
        <f>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CR'!L19:L28,Criterios!B21)
+SUMIFS('UFCA - CR'!J19:J28,'UFCA - CR'!F19:F28,Criterios!A5,
'UFCA - CR'!L19:L28,Criterios!B21)
+SUMIFS('UFCA - CR'!J19:J28,'UFCA - CR'!F19:F28,Criterios!A6,
'UFCA - CR'!L19:L28,Criterios!B21)
+SUMIFS('UFCA - CR'!J19:J28,'UFCA - CR'!F19:F28,Criterios!A8,
'UFCA - CR'!L19:L28,Criterios!B21)
+SUMIFS('UFCA - CR'!J19:J28,'UFCA - CR'!F19:F28,Criterios!A11,
'UFCA - CR'!L19:L28,Criterios!B21)
+SUMIFS('UFCA - CR'!J19:J28,'UFCA - CR'!F19:F28,Criterios!A12,
'UFCA - CR'!L19:L28,Criterios!B21)
+SUMIFS('UFCA - CR'!J19:J28,'UFCA - CR'!F19:F28,Criterios!A13,
'UFCA - CR'!L19:L28,Criterios!B21)
+SUMIFS('UFCA - CR'!J19:J28,'UFCA - CR'!F19:F28,Criterios!A14,
'UFCA - CR'!L19:L28,Criterios!B21)
+SUMIFS('UFCA - CR'!J19:J28,'UFCA - CR'!F19:F28,Criterios!B4,
'UFCA - CR'!L19:L28,Criterios!B19)
+SUMIFS('UFCA - CR'!J19:J28,'UFCA - CR'!F19:F28,Criterios!B5,
'UFCA - CR'!L19:L28,Criterios!B19)
+SUMIFS('UFCA - CR'!J19:J28,'UFCA - CR'!F19:F28,Criterios!B6,
'UFCA - CR'!L19:L28,Criterios!B19)
+SUMIFS('UFCA - CR'!J19:J28,'UFCA - CR'!F19:F28,Criterios!B7,
'UFCA - CR'!L19:L28,Criterios!B19)
+SUMIFS('UFCA - CR'!J19:J28,'UFCA - CR'!F19:F28,Criterios!B8,
'UFCA - CR'!L19:L28,Criterios!B19)</f>
        <v>0</v>
      </c>
      <c r="D33" s="15">
        <f>SUMIF('UFCA - CR'!F19:F28,Criterios!C4,'UFCA - CR'!J19:J28)</f>
        <v>0</v>
      </c>
      <c r="E33" s="15">
        <f>SUMIF('UFCA - CR'!F19:F28,Criterios!D4,'UFCA - CR'!J19:J28)</f>
        <v>0</v>
      </c>
      <c r="F33" s="15">
        <f>SUMIF('UFCA - CR'!F19:F28,Criterios!E4,'UFCA - CR'!J19:J28)</f>
        <v>184.5</v>
      </c>
      <c r="G33" s="15">
        <f>SUMIF('UFCA - CR'!F19:F28,Criterios!F4,'UFCA - CR'!J19:J28)</f>
        <v>20.2</v>
      </c>
      <c r="H33" s="15"/>
      <c r="I33" s="15">
        <f t="shared" si="4"/>
        <v>292.89999999999998</v>
      </c>
      <c r="K33">
        <f>SUMIF('UFCA - CR'!$C$4:$C$200,'TOTAL - CR'!A7,'UFCA - CR'!$J$4:$J$200)</f>
        <v>292.89999999999998</v>
      </c>
      <c r="L33" s="2">
        <f t="shared" si="5"/>
        <v>0</v>
      </c>
      <c r="M33" s="307" t="s">
        <v>1952</v>
      </c>
    </row>
    <row r="34" spans="1:13">
      <c r="A34" s="138" t="s">
        <v>1929</v>
      </c>
      <c r="B34" s="15">
        <f>SUMIFS('UFCA - CR'!J29:J51,'UFCA - CR'!F29:F51,Criterios!A4,
'UFCA - CR'!L29:L51,Criterios!A19)
+SUMIFS('UFCA - CR'!J29:J51,'UFCA - CR'!F29:F51,Criterios!A5,
'UFCA - CR'!L29:L51,Criterios!A19)
+SUMIFS('UFCA - CR'!J29:J51,'UFCA - CR'!F29:F51,Criterios!A6,
'UFCA - CR'!L29:L51,Criterios!A19)
+SUMIFS('UFCA - CR'!J29:J51,'UFCA - CR'!F29:F51,Criterios!A7,
'UFCA - CR'!L29:L51,Criterios!A19)
+SUMIFS('UFCA - CR'!J29:J51,'UFCA - CR'!F29:F51,Criterios!A8,
'UFCA - CR'!L29:L51,Criterios!A19)
+SUMIFS('UFCA - CR'!J29:J51,'UFCA - CR'!F29:F51,Criterios!A9,
'UFCA - CR'!L29:L51,Criterios!A19)
+SUMIFS('UFCA - CR'!J29:J51,'UFCA - CR'!F29:F51,Criterios!A10,
'UFCA - CR'!L29:L51,Criterios!A19)
+SUMIFS('UFCA - CR'!J29:J51,'UFCA - CR'!F29:F51,Criterios!A11,
'UFCA - CR'!L29:L51,Criterios!A19)
+SUMIFS('UFCA - CR'!J29:J51,'UFCA - CR'!F29:F51,Criterios!A12,
'UFCA - CR'!L29:L51,Criterios!A19)
+SUMIFS('UFCA - CR'!J29:J51,'UFCA - CR'!F29:F51,Criterios!A13,
'UFCA - CR'!L29:L51,Criterios!A19)
+SUMIFS('UFCA - CR'!J29:J51,'UFCA - CR'!F29:F51,Criterios!A14,
'UFCA - CR'!L29:L51,Criterios!A19)
+SUMIFS('UFCA - CR'!J29:J51,'UFCA - CR'!F29:F51,Criterios!A15,
'UFCA - CR'!L29:L51,Criterios!A19)
+SUMIFS('UFCA - CR'!J29:J51,'UFCA - CR'!F29:F51,Criterios!A4,
'UFCA - CR'!L29:L51,Criterios!A21)
+SUMIFS('UFCA - CR'!J29:J51,'UFCA - CR'!F29:F51,Criterios!A5,
'UFCA - CR'!L29:L51,Criterios!A21)
+SUMIFS('UFCA - CR'!J29:J51,'UFCA - CR'!F29:F51,Criterios!A6,
'UFCA - CR'!L29:L51,Criterios!A21)
+SUMIFS('UFCA - CR'!J29:J51,'UFCA - CR'!F29:F51,Criterios!A7,
'UFCA - CR'!L29:L51,Criterios!A21)
+SUMIFS('UFCA - CR'!J29:J51,'UFCA - CR'!F29:F51,Criterios!A8,
'UFCA - CR'!L29:L51,Criterios!A21)
+SUMIFS('UFCA - CR'!J29:J51,'UFCA - CR'!F29:F51,Criterios!A9,
'UFCA - CR'!L29:L51,Criterios!A21)
+SUMIFS('UFCA - CR'!J29:J51,'UFCA - CR'!F29:F51,Criterios!A10,
'UFCA - CR'!L29:L51,Criterios!A21)
+SUMIFS('UFCA - CR'!J29:J51,'UFCA - CR'!F29:F51,Criterios!A11,
'UFCA - CR'!L29:L51,Criterios!A21)
+SUMIFS('UFCA - CR'!J29:J51,'UFCA - CR'!F29:F51,Criterios!A12,
'UFCA - CR'!L29:L51,Criterios!A21)
+SUMIFS('UFCA - CR'!J29:J51,'UFCA - CR'!F29:F51,Criterios!A13,
'UFCA - CR'!L29:L51,Criterios!A21)
+SUMIFS('UFCA - CR'!J29:J51,'UFCA - CR'!F29:F51,Criterios!A14,
'UFCA - CR'!L29:L51,Criterios!A21)
+SUMIFS('UFCA - CR'!J29:J51,'UFCA - CR'!F29:F51,Criterios!A15,
'UFCA - CR'!L29:L51,Criterios!A21)</f>
        <v>161.42000000000002</v>
      </c>
      <c r="C34" s="15">
        <f>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CR'!L29:L51,Criterios!B21)
+SUMIFS('UFCA - CR'!J29:J51,'UFCA - CR'!F29:F51,Criterios!A5,
'UFCA - CR'!L29:L51,Criterios!B21)
+SUMIFS('UFCA - CR'!J29:J51,'UFCA - CR'!F29:F51,Criterios!A6,
'UFCA - CR'!L29:L51,Criterios!B21)
+SUMIFS('UFCA - CR'!J29:J51,'UFCA - CR'!F29:F51,Criterios!A8,
'UFCA - CR'!L29:L51,Criterios!B21)
+SUMIFS('UFCA - CR'!J29:J51,'UFCA - CR'!F29:F51,Criterios!A11,
'UFCA - CR'!L29:L51,Criterios!B21)
+SUMIFS('UFCA - CR'!J29:J51,'UFCA - CR'!F29:F51,Criterios!A12,
'UFCA - CR'!L29:L51,Criterios!B21)
+SUMIFS('UFCA - CR'!J29:J51,'UFCA - CR'!F29:F51,Criterios!A13,
'UFCA - CR'!L29:L51,Criterios!B21)
+SUMIFS('UFCA - CR'!J29:J51,'UFCA - CR'!F29:F51,Criterios!A14,
'UFCA - CR'!L29:L51,Criterios!B21)
+SUMIFS('UFCA - CR'!J29:J51,'UFCA - CR'!F29:F51,Criterios!B4,
'UFCA - CR'!L29:L51,Criterios!B19)
+SUMIFS('UFCA - CR'!J29:J51,'UFCA - CR'!F29:F51,Criterios!B5,
'UFCA - CR'!L29:L51,Criterios!B19)
+SUMIFS('UFCA - CR'!J29:J51,'UFCA - CR'!F29:F51,Criterios!B6,
'UFCA - CR'!L29:L51,Criterios!B19)
+SUMIFS('UFCA - CR'!J29:J51,'UFCA - CR'!F29:F51,Criterios!B7,
'UFCA - CR'!L29:L51,Criterios!B19)
+SUMIFS('UFCA - CR'!J29:J51,'UFCA - CR'!F29:F51,Criterios!B8,
'UFCA - CR'!L29:L51,Criterios!B19)</f>
        <v>0</v>
      </c>
      <c r="D34" s="15">
        <f>SUMIF('UFCA - CR'!F29:F51,Criterios!C4,'UFCA - CR'!J29:J51)</f>
        <v>374.45999999999992</v>
      </c>
      <c r="E34" s="15">
        <f>SUMIF('UFCA - CR'!F29:F51,Criterios!D4,'UFCA - CR'!J29:J51)</f>
        <v>0</v>
      </c>
      <c r="F34" s="15">
        <f>SUMIF('UFCA - CR'!F29:F51,Criterios!E4,'UFCA - CR'!J29:J51)</f>
        <v>271.14999999999998</v>
      </c>
      <c r="G34" s="15">
        <f>SUMIF('UFCA - CR'!F29:F51,Criterios!F4,'UFCA - CR'!J29:J51)</f>
        <v>37.4</v>
      </c>
      <c r="H34" s="15"/>
      <c r="I34" s="15">
        <f t="shared" si="4"/>
        <v>844.42999999999984</v>
      </c>
      <c r="K34">
        <f>SUMIF('UFCA - CR'!$C$4:$C$200,'TOTAL - CR'!A8,'UFCA - CR'!$J$4:$J$200)</f>
        <v>844.43000000000018</v>
      </c>
      <c r="L34" s="2">
        <f t="shared" si="5"/>
        <v>0</v>
      </c>
      <c r="M34" s="307" t="s">
        <v>1953</v>
      </c>
    </row>
    <row r="35" spans="1:13">
      <c r="A35" s="138" t="s">
        <v>1930</v>
      </c>
      <c r="B35" s="15">
        <f>SUMIFS('UFCA - CR'!J52:J58,'UFCA - CR'!F52:F58,Criterios!A4,
'UFCA - CR'!L52:L58,Criterios!A19)
+SUMIFS('UFCA - CR'!J52:J58,'UFCA - CR'!F52:F58,Criterios!A5,
'UFCA - CR'!L52:L58,Criterios!A19)
+SUMIFS('UFCA - CR'!J52:J58,'UFCA - CR'!F52:F58,Criterios!A6,
'UFCA - CR'!L52:L58,Criterios!A19)
+SUMIFS('UFCA - CR'!J52:J58,'UFCA - CR'!F52:F58,Criterios!A7,
'UFCA - CR'!L52:L58,Criterios!A19)
+SUMIFS('UFCA - CR'!J52:J58,'UFCA - CR'!F52:F58,Criterios!A8,
'UFCA - CR'!L52:L58,Criterios!A19)
+SUMIFS('UFCA - CR'!J52:J58,'UFCA - CR'!F52:F58,Criterios!A9,
'UFCA - CR'!L52:L58,Criterios!A19)
+SUMIFS('UFCA - CR'!J52:J58,'UFCA - CR'!F52:F58,Criterios!A10,
'UFCA - CR'!L52:L58,Criterios!A19)
+SUMIFS('UFCA - CR'!J52:J58,'UFCA - CR'!F52:F58,Criterios!A11,
'UFCA - CR'!L52:L58,Criterios!A19)
+SUMIFS('UFCA - CR'!J52:J58,'UFCA - CR'!F52:F58,Criterios!A12,
'UFCA - CR'!L52:L58,Criterios!A19)
+SUMIFS('UFCA - CR'!J52:J58,'UFCA - CR'!F52:F58,Criterios!A13,
'UFCA - CR'!L52:L58,Criterios!A19)
+SUMIFS('UFCA - CR'!J52:J58,'UFCA - CR'!F52:F58,Criterios!A14,
'UFCA - CR'!L52:L58,Criterios!A19)
+SUMIFS('UFCA - CR'!J52:J58,'UFCA - CR'!F52:F58,Criterios!A15,
'UFCA - CR'!L52:L58,Criterios!A19)
+SUMIFS('UFCA - CR'!J52:J58,'UFCA - CR'!F52:F58,Criterios!A4,
'UFCA - CR'!L52:L58,Criterios!A21)
+SUMIFS('UFCA - CR'!J52:J58,'UFCA - CR'!F52:F58,Criterios!A5,
'UFCA - CR'!L52:L58,Criterios!A21)
+SUMIFS('UFCA - CR'!J52:J58,'UFCA - CR'!F52:F58,Criterios!A6,
'UFCA - CR'!L52:L58,Criterios!A21)
+SUMIFS('UFCA - CR'!J52:J58,'UFCA - CR'!F52:F58,Criterios!A7,
'UFCA - CR'!L52:L58,Criterios!A21)
+SUMIFS('UFCA - CR'!J52:J58,'UFCA - CR'!F52:F58,Criterios!A8,
'UFCA - CR'!L52:L58,Criterios!A21)
+SUMIFS('UFCA - CR'!J52:J58,'UFCA - CR'!F52:F58,Criterios!A9,
'UFCA - CR'!L52:L58,Criterios!A21)
+SUMIFS('UFCA - CR'!J52:J58,'UFCA - CR'!F52:F58,Criterios!A10,
'UFCA - CR'!L52:L58,Criterios!A21)
+SUMIFS('UFCA - CR'!J52:J58,'UFCA - CR'!F52:F58,Criterios!A11,
'UFCA - CR'!L52:L58,Criterios!A21)
+SUMIFS('UFCA - CR'!J52:J58,'UFCA - CR'!F52:F58,Criterios!A12,
'UFCA - CR'!L52:L58,Criterios!A21)
+SUMIFS('UFCA - CR'!J52:J58,'UFCA - CR'!F52:F58,Criterios!A13,
'UFCA - CR'!L52:L58,Criterios!A21)
+SUMIFS('UFCA - CR'!J52:J58,'UFCA - CR'!F52:F58,Criterios!A14,
'UFCA - CR'!L52:L58,Criterios!A21)
+SUMIFS('UFCA - CR'!J52:J58,'UFCA - CR'!F52:F58,Criterios!A15,
'UFCA - CR'!L52:L58,Criterios!A21)</f>
        <v>462.26</v>
      </c>
      <c r="C35" s="15">
        <f>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CR'!L52:L58,Criterios!B21)
+SUMIFS('UFCA - CR'!J52:J58,'UFCA - CR'!F52:F58,Criterios!A5,
'UFCA - CR'!L52:L58,Criterios!B21)
+SUMIFS('UFCA - CR'!J52:J58,'UFCA - CR'!F52:F58,Criterios!A6,
'UFCA - CR'!L52:L58,Criterios!B21)
+SUMIFS('UFCA - CR'!J52:J58,'UFCA - CR'!F52:F58,Criterios!A8,
'UFCA - CR'!L52:L58,Criterios!B21)
+SUMIFS('UFCA - CR'!J52:J58,'UFCA - CR'!F52:F58,Criterios!A11,
'UFCA - CR'!L52:L58,Criterios!B21)
+SUMIFS('UFCA - CR'!J52:J58,'UFCA - CR'!F52:F58,Criterios!A12,
'UFCA - CR'!L52:L58,Criterios!B21)
+SUMIFS('UFCA - CR'!J52:J58,'UFCA - CR'!F52:F58,Criterios!A13,
'UFCA - CR'!L52:L58,Criterios!B21)
+SUMIFS('UFCA - CR'!J52:J58,'UFCA - CR'!F52:F58,Criterios!A14,
'UFCA - CR'!L52:L58,Criterios!B21)
+SUMIFS('UFCA - CR'!J52:J58,'UFCA - CR'!F52:F58,Criterios!B4,
'UFCA - CR'!L52:L58,Criterios!B19)
+SUMIFS('UFCA - CR'!J52:J58,'UFCA - CR'!F52:F58,Criterios!B5,
'UFCA - CR'!L52:L58,Criterios!B19)
+SUMIFS('UFCA - CR'!J52:J58,'UFCA - CR'!F52:F58,Criterios!B6,
'UFCA - CR'!L52:L58,Criterios!B19)
+SUMIFS('UFCA - CR'!J52:J58,'UFCA - CR'!F52:F58,Criterios!B7,
'UFCA - CR'!L52:L58,Criterios!B19)
+SUMIFS('UFCA - CR'!J52:J58,'UFCA - CR'!F52:F58,Criterios!B8,
'UFCA - CR'!L52:L58,Criterios!B19)</f>
        <v>0</v>
      </c>
      <c r="D35" s="15">
        <f>SUMIF('UFCA - CR'!F52:F58,Criterios!C4,'UFCA - CR'!J52:J58)</f>
        <v>0</v>
      </c>
      <c r="E35" s="15">
        <f>SUMIF('UFCA - CR'!F52:F58,Criterios!D4,'UFCA - CR'!J52:J58)</f>
        <v>0</v>
      </c>
      <c r="F35" s="15">
        <f>SUMIF('UFCA - CR'!F52:F58,Criterios!E4,'UFCA - CR'!J52:J58)</f>
        <v>0</v>
      </c>
      <c r="G35" s="15">
        <f>SUMIF('UFCA - CR'!F52:F58,Criterios!F4,'UFCA - CR'!J52:J58)</f>
        <v>2.15</v>
      </c>
      <c r="H35" s="15"/>
      <c r="I35" s="15">
        <f t="shared" si="4"/>
        <v>464.40999999999997</v>
      </c>
      <c r="K35">
        <f>SUMIF('UFCA - CR'!$C$4:$C$200,'TOTAL - CR'!A9,'UFCA - CR'!$J$4:$J$200)</f>
        <v>464.40999999999997</v>
      </c>
      <c r="L35" s="2">
        <f t="shared" si="5"/>
        <v>0</v>
      </c>
      <c r="M35" s="307" t="s">
        <v>1954</v>
      </c>
    </row>
    <row r="36" spans="1:13">
      <c r="A36" s="138" t="s">
        <v>1931</v>
      </c>
      <c r="B36" s="15">
        <f>SUMIFS('UFCA - CR'!J59:J71,'UFCA - CR'!F59:F71,Criterios!A4,
'UFCA - CR'!L59:L71,Criterios!A19)
+SUMIFS('UFCA - CR'!J59:J71,'UFCA - CR'!F59:F71,Criterios!A5,
'UFCA - CR'!L59:L71,Criterios!A19)
+SUMIFS('UFCA - CR'!J59:J71,'UFCA - CR'!F59:F71,Criterios!A6,
'UFCA - CR'!L59:L71,Criterios!A19)
+SUMIFS('UFCA - CR'!J59:J71,'UFCA - CR'!F59:F71,Criterios!A7,
'UFCA - CR'!L59:L71,Criterios!A19)
+SUMIFS('UFCA - CR'!J59:J71,'UFCA - CR'!F59:F71,Criterios!A8,
'UFCA - CR'!L59:L71,Criterios!A19)
+SUMIFS('UFCA - CR'!J59:J71,'UFCA - CR'!F59:F71,Criterios!A9,
'UFCA - CR'!L59:L71,Criterios!A19)
+SUMIFS('UFCA - CR'!J59:J71,'UFCA - CR'!F59:F71,Criterios!A10,
'UFCA - CR'!L59:L71,Criterios!A19)
+SUMIFS('UFCA - CR'!J59:J71,'UFCA - CR'!F59:F71,Criterios!A11,
'UFCA - CR'!L59:L71,Criterios!A19)
+SUMIFS('UFCA - CR'!J59:J71,'UFCA - CR'!F59:F71,Criterios!A12,
'UFCA - CR'!L59:L71,Criterios!A19)
+SUMIFS('UFCA - CR'!J59:J71,'UFCA - CR'!F59:F71,Criterios!A13,
'UFCA - CR'!L59:L71,Criterios!A19)
+SUMIFS('UFCA - CR'!J59:J71,'UFCA - CR'!F59:F71,Criterios!A14,
'UFCA - CR'!L59:L71,Criterios!A19)
+SUMIFS('UFCA - CR'!J59:J71,'UFCA - CR'!F59:F71,Criterios!A15,
'UFCA - CR'!L59:L71,Criterios!A19)
+SUMIFS('UFCA - CR'!J59:J71,'UFCA - CR'!F59:F71,Criterios!A4,
'UFCA - CR'!L59:L71,Criterios!A21)
+SUMIFS('UFCA - CR'!J59:J71,'UFCA - CR'!F59:F71,Criterios!A5,
'UFCA - CR'!L59:L71,Criterios!A21)
+SUMIFS('UFCA - CR'!J59:J71,'UFCA - CR'!F59:F71,Criterios!A6,
'UFCA - CR'!L59:L71,Criterios!A21)
+SUMIFS('UFCA - CR'!J59:J71,'UFCA - CR'!F59:F71,Criterios!A7,
'UFCA - CR'!L59:L71,Criterios!A21)
+SUMIFS('UFCA - CR'!J59:J71,'UFCA - CR'!F59:F71,Criterios!A8,
'UFCA - CR'!L59:L71,Criterios!A21)
+SUMIFS('UFCA - CR'!J59:J71,'UFCA - CR'!F59:F71,Criterios!A9,
'UFCA - CR'!L59:L71,Criterios!A21)
+SUMIFS('UFCA - CR'!J59:J71,'UFCA - CR'!F59:F71,Criterios!A10,
'UFCA - CR'!L59:L71,Criterios!A21)
+SUMIFS('UFCA - CR'!J59:J71,'UFCA - CR'!F59:F71,Criterios!A11,
'UFCA - CR'!L59:L71,Criterios!A21)
+SUMIFS('UFCA - CR'!J59:J71,'UFCA - CR'!F59:F71,Criterios!A12,
'UFCA - CR'!L59:L71,Criterios!A21)
+SUMIFS('UFCA - CR'!J59:J71,'UFCA - CR'!F59:F71,Criterios!A13,
'UFCA - CR'!L59:L71,Criterios!A21)
+SUMIFS('UFCA - CR'!J59:J71,'UFCA - CR'!F59:F71,Criterios!A14,
'UFCA - CR'!L59:L71,Criterios!A21)
+SUMIFS('UFCA - CR'!J59:J71,'UFCA - CR'!F59:F71,Criterios!A15,
'UFCA - CR'!L59:L71,Criterios!A21)</f>
        <v>11.4</v>
      </c>
      <c r="C36" s="15">
        <f>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CR'!L59:L71,Criterios!B21)
+SUMIFS('UFCA - CR'!J59:J71,'UFCA - CR'!F59:F71,Criterios!A5,
'UFCA - CR'!L59:L71,Criterios!B21)
+SUMIFS('UFCA - CR'!J59:J71,'UFCA - CR'!F59:F71,Criterios!A6,
'UFCA - CR'!L59:L71,Criterios!B21)
+SUMIFS('UFCA - CR'!J59:J71,'UFCA - CR'!F59:F71,Criterios!A8,
'UFCA - CR'!L59:L71,Criterios!B21)
+SUMIFS('UFCA - CR'!J59:J71,'UFCA - CR'!F59:F71,Criterios!A11,
'UFCA - CR'!L59:L71,Criterios!B21)
+SUMIFS('UFCA - CR'!J59:J71,'UFCA - CR'!F59:F71,Criterios!A12,
'UFCA - CR'!L59:L71,Criterios!B21)
+SUMIFS('UFCA - CR'!J59:J71,'UFCA - CR'!F59:F71,Criterios!A13,
'UFCA - CR'!L59:L71,Criterios!B21)
+SUMIFS('UFCA - CR'!J59:J71,'UFCA - CR'!F59:F71,Criterios!A14,
'UFCA - CR'!L59:L71,Criterios!B21)
+SUMIFS('UFCA - CR'!J59:J71,'UFCA - CR'!F59:F71,Criterios!B4,
'UFCA - CR'!L59:L71,Criterios!B19)
+SUMIFS('UFCA - CR'!J59:J71,'UFCA - CR'!F59:F71,Criterios!B5,
'UFCA - CR'!L59:L71,Criterios!B19)
+SUMIFS('UFCA - CR'!J59:J71,'UFCA - CR'!F59:F71,Criterios!B6,
'UFCA - CR'!L59:L71,Criterios!B19)
+SUMIFS('UFCA - CR'!J59:J71,'UFCA - CR'!F59:F71,Criterios!B7,
'UFCA - CR'!L59:L71,Criterios!B19)
+SUMIFS('UFCA - CR'!J59:J71,'UFCA - CR'!F59:F71,Criterios!B8,
'UFCA - CR'!L59:L71,Criterios!B19)</f>
        <v>0</v>
      </c>
      <c r="D36" s="15">
        <f>SUMIF('UFCA - CR'!F59:F71,Criterios!C4,'UFCA - CR'!J59:J71)</f>
        <v>437.73</v>
      </c>
      <c r="E36" s="15">
        <f>SUMIF('UFCA - CR'!F59:F71,Criterios!D4,'UFCA - CR'!J59:J71)</f>
        <v>0</v>
      </c>
      <c r="F36" s="15">
        <f>SUMIF('UFCA - CR'!F59:F71,Criterios!E4,'UFCA - CR'!J59:J71)</f>
        <v>268.14999999999998</v>
      </c>
      <c r="G36" s="15">
        <f>SUMIF('UFCA - CR'!F59:F71,Criterios!F4,'UFCA - CR'!J59:J71)</f>
        <v>37.4</v>
      </c>
      <c r="H36" s="15"/>
      <c r="I36" s="15">
        <f t="shared" si="4"/>
        <v>754.68</v>
      </c>
      <c r="K36">
        <f>SUMIF('UFCA - CR'!$C$4:$C$200,'TOTAL - CR'!A10,'UFCA - CR'!$J$4:$J$200)</f>
        <v>754.68</v>
      </c>
      <c r="L36" s="2">
        <f t="shared" si="5"/>
        <v>0</v>
      </c>
      <c r="M36" s="307" t="s">
        <v>1955</v>
      </c>
    </row>
    <row r="37" spans="1:13">
      <c r="A37" s="138" t="s">
        <v>1932</v>
      </c>
      <c r="B37" s="15">
        <f>SUMIFS('UFCA - CR'!J72:J79,'UFCA - CR'!F72:F79,Criterios!A4,
'UFCA - CR'!L72:L79,Criterios!A19)
+SUMIFS('UFCA - CR'!J72:J79,'UFCA - CR'!F72:F79,Criterios!A5,
'UFCA - CR'!L72:L79,Criterios!A19)
+SUMIFS('UFCA - CR'!J72:J79,'UFCA - CR'!F72:F79,Criterios!A6,
'UFCA - CR'!L72:L79,Criterios!A19)
+SUMIFS('UFCA - CR'!J72:J79,'UFCA - CR'!F72:F79,Criterios!A7,
'UFCA - CR'!L72:L79,Criterios!A19)
+SUMIFS('UFCA - CR'!J72:J79,'UFCA - CR'!F72:F79,Criterios!A8,
'UFCA - CR'!L72:L79,Criterios!A19)
+SUMIFS('UFCA - CR'!J72:J79,'UFCA - CR'!F72:F79,Criterios!A9,
'UFCA - CR'!L72:L79,Criterios!A19)
+SUMIFS('UFCA - CR'!J72:J79,'UFCA - CR'!F72:F79,Criterios!A10,
'UFCA - CR'!L72:L79,Criterios!A19)
+SUMIFS('UFCA - CR'!J72:J79,'UFCA - CR'!F72:F79,Criterios!A11,
'UFCA - CR'!L72:L79,Criterios!A19)
+SUMIFS('UFCA - CR'!J72:J79,'UFCA - CR'!F72:F79,Criterios!A12,
'UFCA - CR'!L72:L79,Criterios!A19)
+SUMIFS('UFCA - CR'!J72:J79,'UFCA - CR'!F72:F79,Criterios!A13,
'UFCA - CR'!L72:L79,Criterios!A19)
+SUMIFS('UFCA - CR'!J72:J79,'UFCA - CR'!F72:F79,Criterios!A14,
'UFCA - CR'!L72:L79,Criterios!A19)
+SUMIFS('UFCA - CR'!J72:J79,'UFCA - CR'!F72:F79,Criterios!A15,
'UFCA - CR'!L72:L79,Criterios!A19)
+SUMIFS('UFCA - CR'!J72:J79,'UFCA - CR'!F72:F79,Criterios!A4,
'UFCA - CR'!L72:L79,Criterios!A21)
+SUMIFS('UFCA - CR'!J72:J79,'UFCA - CR'!F72:F79,Criterios!A5,
'UFCA - CR'!L72:L79,Criterios!A21)
+SUMIFS('UFCA - CR'!J72:J79,'UFCA - CR'!F72:F79,Criterios!A6,
'UFCA - CR'!L72:L79,Criterios!A21)
+SUMIFS('UFCA - CR'!J72:J79,'UFCA - CR'!F72:F79,Criterios!A7,
'UFCA - CR'!L72:L79,Criterios!A21)
+SUMIFS('UFCA - CR'!J72:J79,'UFCA - CR'!F72:F79,Criterios!A8,
'UFCA - CR'!L72:L79,Criterios!A21)
+SUMIFS('UFCA - CR'!J72:J79,'UFCA - CR'!F72:F79,Criterios!A9,
'UFCA - CR'!L72:L79,Criterios!A21)
+SUMIFS('UFCA - CR'!J72:J79,'UFCA - CR'!F72:F79,Criterios!A10,
'UFCA - CR'!L72:L79,Criterios!A21)
+SUMIFS('UFCA - CR'!J72:J79,'UFCA - CR'!F72:F79,Criterios!A11,
'UFCA - CR'!L72:L79,Criterios!A21)
+SUMIFS('UFCA - CR'!J72:J79,'UFCA - CR'!F72:F79,Criterios!A12,
'UFCA - CR'!L72:L79,Criterios!A21)
+SUMIFS('UFCA - CR'!J72:J79,'UFCA - CR'!F72:F79,Criterios!A13,
'UFCA - CR'!L72:L79,Criterios!A21)
+SUMIFS('UFCA - CR'!J72:J79,'UFCA - CR'!F72:F79,Criterios!A14,
'UFCA - CR'!L72:L79,Criterios!A21)
+SUMIFS('UFCA - CR'!J72:J79,'UFCA - CR'!F72:F79,Criterios!A15,
'UFCA - CR'!L72:L79,Criterios!A21)</f>
        <v>71.83</v>
      </c>
      <c r="C37" s="15">
        <f>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CR'!L72:L79,Criterios!B21)
+SUMIFS('UFCA - CR'!J72:J79,'UFCA - CR'!F72:F79,Criterios!A5,
'UFCA - CR'!L72:L79,Criterios!B21)
+SUMIFS('UFCA - CR'!J72:J79,'UFCA - CR'!F72:F79,Criterios!A6,
'UFCA - CR'!L72:L79,Criterios!B21)
+SUMIFS('UFCA - CR'!J72:J79,'UFCA - CR'!F72:F79,Criterios!A8,
'UFCA - CR'!L72:L79,Criterios!B21)
+SUMIFS('UFCA - CR'!J72:J79,'UFCA - CR'!F72:F79,Criterios!A11,
'UFCA - CR'!L72:L79,Criterios!B21)
+SUMIFS('UFCA - CR'!J72:J79,'UFCA - CR'!F72:F79,Criterios!A12,
'UFCA - CR'!L72:L79,Criterios!B21)
+SUMIFS('UFCA - CR'!J72:J79,'UFCA - CR'!F72:F79,Criterios!A13,
'UFCA - CR'!L72:L79,Criterios!B21)
+SUMIFS('UFCA - CR'!J72:J79,'UFCA - CR'!F72:F79,Criterios!A14,
'UFCA - CR'!L72:L79,Criterios!B21)
+SUMIFS('UFCA - CR'!J72:J79,'UFCA - CR'!F72:F79,Criterios!B4,
'UFCA - CR'!L72:L79,Criterios!B19)
+SUMIFS('UFCA - CR'!J72:J79,'UFCA - CR'!F72:F79,Criterios!B5,
'UFCA - CR'!L72:L79,Criterios!B19)
+SUMIFS('UFCA - CR'!J72:J79,'UFCA - CR'!F72:F79,Criterios!B6,
'UFCA - CR'!L72:L79,Criterios!B19)
+SUMIFS('UFCA - CR'!J72:J79,'UFCA - CR'!F72:F79,Criterios!B7,
'UFCA - CR'!L72:L79,Criterios!B19)
+SUMIFS('UFCA - CR'!J72:J79,'UFCA - CR'!F72:F79,Criterios!B8,
'UFCA - CR'!L72:L79,Criterios!B19)</f>
        <v>0</v>
      </c>
      <c r="D37" s="15">
        <f>SUMIF('UFCA - CR'!F72:F79,Criterios!C4,'UFCA - CR'!J72:J79)</f>
        <v>62.3</v>
      </c>
      <c r="E37" s="15">
        <f>SUMIF('UFCA - CR'!F72:F79,Criterios!D4,'UFCA - CR'!J72:J79)
+SUMIF('UFCA - CR'!F72:F79,Criterios!D5,'UFCA - CR'!J72:J79)</f>
        <v>223.74</v>
      </c>
      <c r="F37" s="15">
        <f>SUMIF('UFCA - CR'!F72:F79,Criterios!E4,'UFCA - CR'!J72:J79)</f>
        <v>7.5</v>
      </c>
      <c r="G37" s="15">
        <f>SUMIF('UFCA - CR'!F72:F79,Criterios!F4,'UFCA - CR'!J72:J79)</f>
        <v>30.6</v>
      </c>
      <c r="H37" s="15"/>
      <c r="I37" s="15">
        <f t="shared" si="4"/>
        <v>395.97</v>
      </c>
      <c r="K37">
        <f>SUMIF('UFCA - CR'!$C$4:$C$200,'TOTAL - CR'!A11,'UFCA - CR'!$J$4:$J$200)</f>
        <v>395.97</v>
      </c>
      <c r="L37" s="2">
        <f t="shared" si="5"/>
        <v>0</v>
      </c>
      <c r="M37" s="307" t="s">
        <v>1956</v>
      </c>
    </row>
    <row r="38" spans="1:13">
      <c r="A38" s="138" t="s">
        <v>1933</v>
      </c>
      <c r="B38" s="15">
        <f>SUMIFS('UFCA - CR'!J80:J183,'UFCA - CR'!F80:F183,Criterios!A4,
'UFCA - CR'!L80:L183,Criterios!A19)
+SUMIFS('UFCA - CR'!J80:J183,'UFCA - CR'!F80:F183,Criterios!A5,
'UFCA - CR'!L80:L183,Criterios!A19)
+SUMIFS('UFCA - CR'!J80:J183,'UFCA - CR'!F80:F183,Criterios!A6,
'UFCA - CR'!L80:L183,Criterios!A19)
+SUMIFS('UFCA - CR'!J80:J183,'UFCA - CR'!F80:F183,Criterios!A7,
'UFCA - CR'!L80:L183,Criterios!A19)
+SUMIFS('UFCA - CR'!J80:J183,'UFCA - CR'!F80:F183,Criterios!A8,
'UFCA - CR'!L80:L183,Criterios!A19)
+SUMIFS('UFCA - CR'!J80:J183,'UFCA - CR'!F80:F183,Criterios!A9,
'UFCA - CR'!L80:L183,Criterios!A19)
+SUMIFS('UFCA - CR'!J80:J183,'UFCA - CR'!F80:F183,Criterios!A10,
'UFCA - CR'!L80:L183,Criterios!A19)
+SUMIFS('UFCA - CR'!J80:J183,'UFCA - CR'!F80:F183,Criterios!A11,
'UFCA - CR'!L80:L183,Criterios!A19)
+SUMIFS('UFCA - CR'!J80:J183,'UFCA - CR'!F80:F183,Criterios!A12,
'UFCA - CR'!L80:L183,Criterios!A19)
+SUMIFS('UFCA - CR'!J80:J183,'UFCA - CR'!F80:F183,Criterios!A13,
'UFCA - CR'!L80:L183,Criterios!A19)
+SUMIFS('UFCA - CR'!J80:J183,'UFCA - CR'!F80:F183,Criterios!A14,
'UFCA - CR'!L80:L183,Criterios!A19)
+SUMIFS('UFCA - CR'!J80:J183,'UFCA - CR'!F80:F183,Criterios!A15,
'UFCA - CR'!L80:L183,Criterios!A19)
+SUMIFS('UFCA - CR'!J80:J183,'UFCA - CR'!F80:F183,Criterios!A4,
'UFCA - CR'!L80:L183,Criterios!A21)
+SUMIFS('UFCA - CR'!J80:J183,'UFCA - CR'!F80:F183,Criterios!A5,
'UFCA - CR'!L80:L183,Criterios!A21)
+SUMIFS('UFCA - CR'!J80:J183,'UFCA - CR'!F80:F183,Criterios!A6,
'UFCA - CR'!L80:L183,Criterios!A21)
+SUMIFS('UFCA - CR'!J80:J183,'UFCA - CR'!F80:F183,Criterios!A7,
'UFCA - CR'!L80:L183,Criterios!A21)
+SUMIFS('UFCA - CR'!J80:J183,'UFCA - CR'!F80:F183,Criterios!A8,
'UFCA - CR'!L80:L183,Criterios!A21)
+SUMIFS('UFCA - CR'!J80:J183,'UFCA - CR'!F80:F183,Criterios!A9,
'UFCA - CR'!L80:L183,Criterios!A21)
+SUMIFS('UFCA - CR'!J80:J183,'UFCA - CR'!F80:F183,Criterios!A10,
'UFCA - CR'!L80:L183,Criterios!A21)
+SUMIFS('UFCA - CR'!J80:J183,'UFCA - CR'!F80:F183,Criterios!A11,
'UFCA - CR'!L80:L183,Criterios!A21)
+SUMIFS('UFCA - CR'!J80:J183,'UFCA - CR'!F80:F183,Criterios!A12,
'UFCA - CR'!L80:L183,Criterios!A21)
+SUMIFS('UFCA - CR'!J80:J183,'UFCA - CR'!F80:F183,Criterios!A13,
'UFCA - CR'!L80:L183,Criterios!A21)
+SUMIFS('UFCA - CR'!J80:J183,'UFCA - CR'!F80:F183,Criterios!A14,
'UFCA - CR'!L80:L183,Criterios!A21)
+SUMIFS('UFCA - CR'!J80:J183,'UFCA - CR'!F80:F183,Criterios!A15,
'UFCA - CR'!L80:L183,Criterios!A21)</f>
        <v>2227.8999999999996</v>
      </c>
      <c r="C38" s="15">
        <f>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CR'!L80:L183,Criterios!B21)
+SUMIFS('UFCA - CR'!J80:J183,'UFCA - CR'!F80:F183,Criterios!A5,
'UFCA - CR'!L80:L183,Criterios!B21)
+SUMIFS('UFCA - CR'!J80:J183,'UFCA - CR'!F80:F183,Criterios!A6,
'UFCA - CR'!L80:L183,Criterios!B21)
+SUMIFS('UFCA - CR'!J80:J183,'UFCA - CR'!F80:F183,Criterios!A8,
'UFCA - CR'!L80:L183,Criterios!B21)
+SUMIFS('UFCA - CR'!J80:J183,'UFCA - CR'!F80:F183,Criterios!A11,
'UFCA - CR'!L80:L183,Criterios!B21)
+SUMIFS('UFCA - CR'!J80:J183,'UFCA - CR'!F80:F183,Criterios!A12,
'UFCA - CR'!L80:L183,Criterios!B21)
+SUMIFS('UFCA - CR'!J80:J183,'UFCA - CR'!F80:F183,Criterios!A13,
'UFCA - CR'!L80:L183,Criterios!B21)
+SUMIFS('UFCA - CR'!J80:J183,'UFCA - CR'!F80:F183,Criterios!A14,
'UFCA - CR'!L80:L183,Criterios!B21)
+SUMIFS('UFCA - CR'!J80:J183,'UFCA - CR'!F80:F183,Criterios!B4,
'UFCA - CR'!L80:L183,Criterios!B19)
+SUMIFS('UFCA - CR'!J80:J183,'UFCA - CR'!F80:F183,Criterios!B5,
'UFCA - CR'!L80:L183,Criterios!B19)
+SUMIFS('UFCA - CR'!J80:J183,'UFCA - CR'!F80:F183,Criterios!B6,
'UFCA - CR'!L80:L183,Criterios!B19)
+SUMIFS('UFCA - CR'!J80:J183,'UFCA - CR'!F80:F183,Criterios!B7,
'UFCA - CR'!L80:L183,Criterios!B19)
+SUMIFS('UFCA - CR'!J80:J183,'UFCA - CR'!F80:F183,Criterios!B8,
'UFCA - CR'!L80:L183,Criterios!B19)</f>
        <v>28.060000000000002</v>
      </c>
      <c r="D38" s="15">
        <f>SUMIF('UFCA - CR'!F80:F183,Criterios!C4,'UFCA - CR'!J80:J183)</f>
        <v>0</v>
      </c>
      <c r="E38" s="15">
        <f>SUMIF('UFCA - CR'!F80:F183,Criterios!D4,'UFCA - CR'!J80:J183)</f>
        <v>0</v>
      </c>
      <c r="F38" s="15">
        <f>SUMIF('UFCA - CR'!F80:F183,Criterios!E4,'UFCA - CR'!J80:J183)</f>
        <v>702.62999999999977</v>
      </c>
      <c r="G38" s="15">
        <f>SUMIF('UFCA - CR'!F80:F183,Criterios!F4,'UFCA - CR'!J80:J183)</f>
        <v>133.5</v>
      </c>
      <c r="H38" s="15"/>
      <c r="I38" s="15">
        <f t="shared" si="4"/>
        <v>3092.0899999999992</v>
      </c>
      <c r="K38">
        <f>SUMIF('UFCA - CR'!$C$4:$C$200,'TOTAL - CR'!A12,'UFCA - CR'!$J$4:$J$200)</f>
        <v>3092.0899999999992</v>
      </c>
      <c r="L38" s="2">
        <f t="shared" si="5"/>
        <v>0</v>
      </c>
      <c r="M38" s="307" t="s">
        <v>1957</v>
      </c>
    </row>
    <row r="39" spans="1:13">
      <c r="A39" s="138" t="s">
        <v>1233</v>
      </c>
      <c r="B39" s="15">
        <f>SUMIF('UFCA - CR'!F184:F192,Criterios!A9,'UFCA - CR'!J184:J192)</f>
        <v>2.5299999999999998</v>
      </c>
      <c r="C39" s="15"/>
      <c r="D39" s="15"/>
      <c r="E39" s="15"/>
      <c r="F39" s="15">
        <f>SUMIF('UFCA - CR'!F184:F192,Criterios!E4,'UFCA - CR'!J184:J192)
+SUMIF('UFCA - CR'!F184:F192,Criterios!E5,'UFCA - CR'!J184:J192)
+SUMIF('UFCA - CR'!F184:F192,Criterios!E6,'UFCA - CR'!J184:J192)</f>
        <v>672.87</v>
      </c>
      <c r="G39" s="15">
        <f>SUMIF('UFCA - CR'!F184:F192,Criterios!F4,'UFCA - CR'!J184:J192)</f>
        <v>37.08</v>
      </c>
      <c r="H39" s="15"/>
      <c r="I39" s="15">
        <f t="shared" si="4"/>
        <v>712.48</v>
      </c>
      <c r="K39">
        <f>SUMIF('UFCA - CR'!$C$4:$C$200,'TOTAL - CR'!A13,'UFCA - CR'!$J$4:$J$200)</f>
        <v>712.47999999999979</v>
      </c>
      <c r="L39" s="2">
        <f t="shared" si="5"/>
        <v>0</v>
      </c>
      <c r="M39" s="307" t="s">
        <v>1958</v>
      </c>
    </row>
    <row r="40" spans="1:13">
      <c r="A40" s="138" t="s">
        <v>606</v>
      </c>
      <c r="B40" s="15">
        <f>SUMIF('UFCA - CR'!F4:F5,Criterios!A4,'UFCA - CR'!J4:J5)</f>
        <v>5.6</v>
      </c>
      <c r="C40" s="15"/>
      <c r="D40" s="15"/>
      <c r="E40" s="15"/>
      <c r="F40" s="15"/>
      <c r="G40" s="15">
        <f>SUMIF('UFCA - CR'!F4:F5,Criterios!F4,'UFCA - CR'!J4:J5)</f>
        <v>1.7</v>
      </c>
      <c r="H40" s="15"/>
      <c r="I40" s="15">
        <f t="shared" si="4"/>
        <v>7.3</v>
      </c>
      <c r="K40">
        <f>SUMIF('UFCA - CR'!$C$4:$C$200,'TOTAL - CR'!A14,'UFCA - CR'!$J$4:$J$200)</f>
        <v>7.3</v>
      </c>
      <c r="L40" s="2">
        <f t="shared" si="5"/>
        <v>0</v>
      </c>
      <c r="M40" s="307" t="s">
        <v>1959</v>
      </c>
    </row>
    <row r="41" spans="1:13">
      <c r="A41" s="138" t="s">
        <v>246</v>
      </c>
      <c r="B41" s="15">
        <f>SUM('UFCA - CR'!J193:J194)</f>
        <v>1264.82</v>
      </c>
      <c r="C41" s="15" t="s">
        <v>100</v>
      </c>
      <c r="D41" s="15" t="s">
        <v>100</v>
      </c>
      <c r="E41" s="15" t="s">
        <v>100</v>
      </c>
      <c r="F41" s="15" t="s">
        <v>100</v>
      </c>
      <c r="G41" s="15" t="s">
        <v>100</v>
      </c>
      <c r="H41" s="15"/>
      <c r="I41" s="15">
        <f t="shared" si="4"/>
        <v>1264.82</v>
      </c>
      <c r="K41">
        <f>SUMIF('UFCA - CR'!$C$4:$C$200,'TOTAL - CR'!A15,'UFCA - CR'!$J$4:$J$200)</f>
        <v>1264.82</v>
      </c>
      <c r="L41" s="2">
        <f t="shared" si="5"/>
        <v>0</v>
      </c>
      <c r="M41" s="307" t="s">
        <v>1960</v>
      </c>
    </row>
    <row r="42" spans="1:13">
      <c r="A42" s="459" t="s">
        <v>108</v>
      </c>
      <c r="B42" s="460"/>
      <c r="C42" s="460">
        <f>SUM('UFCA - CR'!I209:I225)-F42-G42</f>
        <v>508.85000000000008</v>
      </c>
      <c r="D42" s="460"/>
      <c r="E42" s="460"/>
      <c r="F42" s="460">
        <f>SUMIF('UFCA - CR'!F209:F225,Criterios!E4,'UFCA - CR'!I209:I225)</f>
        <v>63.68</v>
      </c>
      <c r="G42" s="460">
        <f>SUMIF('UFCA - CR'!F209:F225,Criterios!F4,'UFCA - CR'!I209:I225)</f>
        <v>30.430000000000003</v>
      </c>
      <c r="H42" s="460"/>
      <c r="I42" s="460">
        <f>SUM(B42:H42)</f>
        <v>602.96</v>
      </c>
      <c r="K42">
        <f>SUMIF('UFCA - CR'!C209:C330,A42,'UFCA - CR'!J209:J330)</f>
        <v>602.96</v>
      </c>
      <c r="L42" s="2">
        <f t="shared" ref="L42" si="6">K42-I42</f>
        <v>0</v>
      </c>
    </row>
    <row r="43" spans="1:13">
      <c r="A43" s="347" t="s">
        <v>563</v>
      </c>
      <c r="B43" s="33">
        <f t="shared" ref="B43:H43" si="7">SUM(B42:B42)</f>
        <v>0</v>
      </c>
      <c r="C43" s="33">
        <f t="shared" si="7"/>
        <v>508.85000000000008</v>
      </c>
      <c r="D43" s="33">
        <f t="shared" si="7"/>
        <v>0</v>
      </c>
      <c r="E43" s="33">
        <f t="shared" si="7"/>
        <v>0</v>
      </c>
      <c r="F43" s="33">
        <f t="shared" si="7"/>
        <v>63.68</v>
      </c>
      <c r="G43" s="33">
        <f t="shared" si="7"/>
        <v>30.430000000000003</v>
      </c>
      <c r="H43" s="33">
        <f t="shared" si="7"/>
        <v>0</v>
      </c>
      <c r="I43" s="33">
        <f>SUM(B43:H43)</f>
        <v>602.96</v>
      </c>
    </row>
    <row r="44" spans="1:13">
      <c r="A44" s="676" t="s">
        <v>2367</v>
      </c>
      <c r="B44" s="677"/>
      <c r="C44" s="677"/>
      <c r="D44" s="677"/>
      <c r="E44" s="677"/>
    </row>
    <row r="45" spans="1:13">
      <c r="A45" s="676" t="s">
        <v>600</v>
      </c>
      <c r="B45" s="344" t="s">
        <v>601</v>
      </c>
      <c r="C45" s="344" t="s">
        <v>615</v>
      </c>
      <c r="D45" s="344" t="s">
        <v>619</v>
      </c>
      <c r="E45" s="344" t="s">
        <v>602</v>
      </c>
      <c r="K45" s="2"/>
      <c r="L45" s="2"/>
      <c r="M45" s="2"/>
    </row>
    <row r="46" spans="1:13">
      <c r="A46" s="676"/>
      <c r="B46" s="36">
        <f>SUMIF('UFCA - CR'!F197:F227,Criterios!I4,'UFCA - CR'!J197:J227)
+SUMIF('UFCA - CR'!F226:F227,Criterios!I9,'UFCA - CR'!J226:J227)</f>
        <v>3886.8399999999997</v>
      </c>
      <c r="C46" s="15">
        <f>SUMIF('UFCA - CR'!F197:F227,Criterios!I5,'UFCA - CR'!J197:J227)</f>
        <v>3395.1400000000003</v>
      </c>
      <c r="D46" s="15">
        <f>SUMIF('UFCA - CR'!F197:F227,Criterios!I7,'UFCA - CR'!J197:J227)</f>
        <v>7488.26</v>
      </c>
      <c r="E46" s="15">
        <f>SUMIF('UFCA - CR'!F197:F227,Criterios!I6,'UFCA - CR'!J197:J227)</f>
        <v>2459.0299999999997</v>
      </c>
      <c r="J46" s="2"/>
      <c r="K46" s="2"/>
      <c r="L46" s="2"/>
      <c r="M46" s="2"/>
    </row>
    <row r="48" spans="1:13" ht="25.5">
      <c r="A48" s="344"/>
      <c r="B48" s="345" t="s">
        <v>1998</v>
      </c>
      <c r="C48" s="345" t="s">
        <v>1999</v>
      </c>
      <c r="D48" s="345" t="s">
        <v>2000</v>
      </c>
      <c r="E48" s="345" t="s">
        <v>2001</v>
      </c>
    </row>
    <row r="49" spans="1:13">
      <c r="A49" s="344" t="s">
        <v>1997</v>
      </c>
      <c r="B49" s="18">
        <f>'UFCA - Terrenos'!D6</f>
        <v>161040.85999999999</v>
      </c>
      <c r="C49" s="18">
        <f>TRUNC(SUM('UFCA - edificações'!E32:E47),2)</f>
        <v>12412.69</v>
      </c>
      <c r="D49" s="15">
        <f>SUM(B46:E46)</f>
        <v>17229.27</v>
      </c>
      <c r="E49" s="15">
        <f>TRUNC(B49-C49-D49,2)</f>
        <v>131398.9</v>
      </c>
    </row>
    <row r="50" spans="1:13" ht="15.75" thickBot="1"/>
    <row r="51" spans="1:13">
      <c r="A51" s="696" t="s">
        <v>837</v>
      </c>
      <c r="B51" s="697"/>
      <c r="C51" s="697"/>
      <c r="D51" s="697"/>
      <c r="E51" s="698"/>
      <c r="F51" s="699"/>
      <c r="G51" s="699"/>
      <c r="H51" s="700"/>
      <c r="I51" s="699"/>
    </row>
    <row r="52" spans="1:13">
      <c r="A52" s="701" t="s">
        <v>611</v>
      </c>
      <c r="B52" s="700"/>
      <c r="C52" s="700"/>
      <c r="D52" s="700"/>
      <c r="E52" s="702"/>
      <c r="F52" s="699"/>
      <c r="G52" s="699"/>
      <c r="H52" s="700"/>
      <c r="I52" s="699"/>
    </row>
    <row r="53" spans="1:13">
      <c r="A53" s="703" t="s">
        <v>2504</v>
      </c>
      <c r="B53" s="704"/>
      <c r="C53" s="704"/>
      <c r="D53" s="704"/>
      <c r="E53" s="705"/>
      <c r="F53" s="704"/>
      <c r="G53" s="704"/>
      <c r="H53" s="704"/>
      <c r="I53" s="704"/>
    </row>
    <row r="54" spans="1:13">
      <c r="A54" s="707" t="s">
        <v>2505</v>
      </c>
      <c r="B54" s="708"/>
      <c r="C54" s="708"/>
      <c r="D54" s="708"/>
      <c r="E54" s="708"/>
      <c r="F54" s="708"/>
      <c r="G54" s="708"/>
      <c r="H54" s="708"/>
      <c r="I54" s="709"/>
    </row>
    <row r="55" spans="1:13">
      <c r="A55" s="710" t="s">
        <v>70</v>
      </c>
      <c r="B55" s="711" t="s">
        <v>285</v>
      </c>
      <c r="C55" s="711"/>
      <c r="D55" s="711"/>
      <c r="E55" s="712"/>
      <c r="F55" s="711"/>
      <c r="G55" s="711"/>
      <c r="H55" s="428"/>
      <c r="I55" s="713" t="s">
        <v>550</v>
      </c>
    </row>
    <row r="56" spans="1:13" ht="54" customHeight="1">
      <c r="A56" s="710"/>
      <c r="B56" s="428" t="s">
        <v>551</v>
      </c>
      <c r="C56" s="428" t="s">
        <v>833</v>
      </c>
      <c r="D56" s="428" t="s">
        <v>1920</v>
      </c>
      <c r="E56" s="428" t="s">
        <v>553</v>
      </c>
      <c r="F56" s="428" t="s">
        <v>1905</v>
      </c>
      <c r="G56" s="429" t="s">
        <v>555</v>
      </c>
      <c r="H56" s="428" t="s">
        <v>1990</v>
      </c>
      <c r="I56" s="713"/>
    </row>
    <row r="57" spans="1:13">
      <c r="A57" s="138" t="s">
        <v>1927</v>
      </c>
      <c r="B57" s="15">
        <f>SUMIFS('UFCA - CR'!J6:J18,'UFCA - CR'!F6:F18,Criterios!A4,
'UFCA - CR'!L6:L18,Criterios!A19)
+SUMIFS('UFCA - CR'!J6:J18,'UFCA - CR'!F6:F18,Criterios!A5,
'UFCA - CR'!L6:L18,Criterios!A19)
+SUMIFS('UFCA - CR'!J6:J18,'UFCA - CR'!F6:F18,Criterios!A6,
'UFCA - CR'!L6:L18,Criterios!A19)
+SUMIFS('UFCA - CR'!J6:J18,'UFCA - CR'!F6:F18,Criterios!A7,
'UFCA - CR'!L6:L18,Criterios!A19)
+SUMIFS('UFCA - CR'!J6:J18,'UFCA - CR'!F6:F18,Criterios!A8,
'UFCA - CR'!L6:L18,Criterios!A19)
+SUMIFS('UFCA - CR'!J6:J18,'UFCA - CR'!F6:F18,Criterios!A9,
'UFCA - CR'!L6:L18,Criterios!A19)
+SUMIFS('UFCA - CR'!J6:J18,'UFCA - CR'!F6:F18,Criterios!A10,
'UFCA - CR'!L6:L18,Criterios!A19)
+SUMIFS('UFCA - CR'!J6:J18,'UFCA - CR'!F6:F18,Criterios!A11,
'UFCA - CR'!L6:L18,Criterios!A19)
+SUMIFS('UFCA - CR'!J6:J18,'UFCA - CR'!F6:F18,Criterios!A12,
'UFCA - CR'!L6:L18,Criterios!A19)
+SUMIFS('UFCA - CR'!J6:J18,'UFCA - CR'!F6:F18,Criterios!A13,
'UFCA - CR'!L6:L18,Criterios!A19)
+SUMIFS('UFCA - CR'!J6:J18,'UFCA - CR'!F6:F18,Criterios!A14,
'UFCA - CR'!L6:L18,Criterios!A19)
+SUMIFS('UFCA - CR'!J6:J18,'UFCA - CR'!F6:F18,Criterios!A15,
'UFCA - CR'!L6:L18,Criterios!A19)
+SUMIFS('UFCA - CR'!J6:J18,'UFCA - CR'!F6:F18,Criterios!A4,
'UFCA - CR'!L6:L18,Criterios!A21)
+SUMIFS('UFCA - CR'!J6:J18,'UFCA - CR'!F6:F18,Criterios!A5,
'UFCA - CR'!L6:L18,Criterios!A21)
+SUMIFS('UFCA - CR'!J6:J18,'UFCA - CR'!F6:F18,Criterios!A6,
'UFCA - CR'!L6:L18,Criterios!A21)
+SUMIFS('UFCA - CR'!J6:J18,'UFCA - CR'!F6:F18,Criterios!A7,
'UFCA - CR'!L6:L18,Criterios!A21)
+SUMIFS('UFCA - CR'!J6:J18,'UFCA - CR'!F6:F18,Criterios!A8,
'UFCA - CR'!L6:L18,Criterios!A21)
+SUMIFS('UFCA - CR'!J6:J18,'UFCA - CR'!F6:F18,Criterios!A9,
'UFCA - CR'!L6:L18,Criterios!A21)
+SUMIFS('UFCA - CR'!J6:J18,'UFCA - CR'!F6:F18,Criterios!A10,
'UFCA - CR'!L6:L18,Criterios!A21)
+SUMIFS('UFCA - CR'!J6:J18,'UFCA - CR'!F6:F18,Criterios!A11,
'UFCA - CR'!L6:L18,Criterios!A21)
+SUMIFS('UFCA - CR'!J6:J18,'UFCA - CR'!F6:F18,Criterios!A12,
'UFCA - CR'!L6:L18,Criterios!A21)
+SUMIFS('UFCA - CR'!J6:J18,'UFCA - CR'!F6:F18,Criterios!A13,
'UFCA - CR'!L6:L18,Criterios!A21)
+SUMIFS('UFCA - CR'!J6:J18,'UFCA - CR'!F6:F18,Criterios!A14,
'UFCA - CR'!L6:L18,Criterios!A21)
+SUMIFS('UFCA - CR'!J6:J18,'UFCA - CR'!F6:F18,Criterios!A15,
'UFCA - CR'!L6:L18,Criterios!A21)</f>
        <v>94.5</v>
      </c>
      <c r="C57" s="15">
        <f>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CR'!L6:L18,Criterios!B19)
+SUMIFS('UFCA - CR'!J6:J18,'UFCA - CR'!F6:F18,Criterios!A5,
'UFCA - CR'!L6:L18,Criterios!B19)
+SUMIFS('UFCA - CR'!J6:J18,'UFCA - CR'!F6:F18,Criterios!A6,
'UFCA - CR'!L6:L18,Criterios!B19)
+SUMIFS('UFCA - CR'!J6:J18,'UFCA - CR'!F6:F18,Criterios!A8,
'UFCA - CR'!L6:L18,Criterios!B19)
+SUMIFS('UFCA - CR'!J6:J18,'UFCA - CR'!F6:F18,Criterios!A11,
'UFCA - CR'!L6:L18,Criterios!B19)
+SUMIFS('UFCA - CR'!J6:J18,'UFCA - CR'!F6:F18,Criterios!A12,
'UFCA - CR'!L6:L18,Criterios!B19)
+SUMIFS('UFCA - CR'!J6:J18,'UFCA - CR'!F6:F18,Criterios!A13,
'UFCA - CR'!L6:L18,Criterios!B19)
+SUMIFS('UFCA - CR'!J6:J18,'UFCA - CR'!F6:F18,Criterios!A14,
'UFCA - CR'!L6:L18,Criterios!B19)
+SUMIFS('UFCA - CR'!J6:J18,'UFCA - CR'!F6:F18,Criterios!A4,
'UFCA - CR'!L6:L18,Criterios!B21)
+SUMIFS('UFCA - CR'!J6:J18,'UFCA - CR'!F6:F18,Criterios!A5,
'UFCA - CR'!L6:L18,Criterios!B21)
+SUMIFS('UFCA - CR'!J6:J18,'UFCA - CR'!F6:F18,Criterios!A6,
'UFCA - CR'!L6:L18,Criterios!B21)
+SUMIFS('UFCA - CR'!J6:J18,'UFCA - CR'!F6:F18,Criterios!A8,
'UFCA - CR'!L6:L18,Criterios!B21)
+SUMIFS('UFCA - CR'!J6:J18,'UFCA - CR'!F6:F18,Criterios!A11,
'UFCA - CR'!L6:L18,Criterios!B21)
+SUMIFS('UFCA - CR'!J6:J18,'UFCA - CR'!F6:F18,Criterios!A12,
'UFCA - CR'!L6:L18,Criterios!B21)
+SUMIFS('UFCA - CR'!J6:J18,'UFCA - CR'!F6:F18,Criterios!A13,
'UFCA - CR'!L6:L18,Criterios!B21)
+SUMIFS('UFCA - CR'!J6:J18,'UFCA - CR'!F6:F18,Criterios!A14,
'UFCA - CR'!L6:L18,Criterios!B21)
+SUMIFS('UFCA - CR'!J6:J18,'UFCA - CR'!F6:F18,Criterios!B4,
'UFCA - CR'!L6:L18,Criterios!B19)
+SUMIFS('UFCA - CR'!J6:J18,'UFCA - CR'!F6:F18,Criterios!B5,
'UFCA - CR'!L6:L18,Criterios!B19)
+SUMIFS('UFCA - CR'!J6:J18,'UFCA - CR'!F6:F18,Criterios!B6,
'UFCA - CR'!L6:L18,Criterios!B19)
+SUMIFS('UFCA - CR'!J6:J18,'UFCA - CR'!F6:F18,Criterios!B7,
'UFCA - CR'!L6:L18,Criterios!B19)
+SUMIFS('UFCA - CR'!J6:J18,'UFCA - CR'!F6:F18,Criterios!B8,
'UFCA - CR'!L6:L18,Criterios!B19)</f>
        <v>7.1</v>
      </c>
      <c r="D57" s="15">
        <f>SUMIF('UFCA - CR'!F6:F18,Criterios!C4,'UFCA - CR'!J6:J18)</f>
        <v>0</v>
      </c>
      <c r="E57" s="15">
        <f>SUMIF('UFCA - CR'!F6:F18,Criterios!D4,'UFCA - CR'!J6:J18)</f>
        <v>9.57</v>
      </c>
      <c r="F57" s="15">
        <f>SUMIF('UFCA - CR'!F6:F18,Criterios!E4,'UFCA - CR'!J6:J18)</f>
        <v>238.45000000000002</v>
      </c>
      <c r="G57" s="15">
        <f>SUMIF('UFCA - CR'!F6:F18,Criterios!F4,'UFCA - CR'!J6:J18)</f>
        <v>20.830000000000002</v>
      </c>
      <c r="H57" s="15"/>
      <c r="I57" s="15">
        <f t="shared" ref="I57:I66" si="8">SUM(B6:H6)</f>
        <v>370.45</v>
      </c>
      <c r="K57">
        <f>SUMIF('UFCA - CR'!$C$4:$C$200,'TOTAL - CR'!A6,'UFCA - CR'!$J$4:$J$200)</f>
        <v>370.45</v>
      </c>
      <c r="L57" s="2">
        <f t="shared" ref="L57:L66" si="9">K6-I6</f>
        <v>0</v>
      </c>
      <c r="M57" s="307" t="s">
        <v>1951</v>
      </c>
    </row>
    <row r="58" spans="1:13">
      <c r="A58" s="138" t="s">
        <v>1928</v>
      </c>
      <c r="B58" s="15">
        <f>SUMIFS('UFCA - CR'!J19:J28,'UFCA - CR'!F19:F28,Criterios!A4,
'UFCA - CR'!L19:L28,Criterios!A19)
+SUMIFS('UFCA - CR'!J19:J28,'UFCA - CR'!F19:F28,Criterios!A5,
'UFCA - CR'!L19:L28,Criterios!A19)
+SUMIFS('UFCA - CR'!J19:J28,'UFCA - CR'!F19:F28,Criterios!A6,
'UFCA - CR'!L19:L28,Criterios!A19)
+SUMIFS('UFCA - CR'!J19:J28,'UFCA - CR'!F19:F28,Criterios!A7,
'UFCA - CR'!L19:L28,Criterios!A19)
+SUMIFS('UFCA - CR'!J19:J28,'UFCA - CR'!F19:F28,Criterios!A8,
'UFCA - CR'!L19:L28,Criterios!A19)
+SUMIFS('UFCA - CR'!J19:J28,'UFCA - CR'!F19:F28,Criterios!A9,
'UFCA - CR'!L19:L28,Criterios!A19)
+SUMIFS('UFCA - CR'!J19:J28,'UFCA - CR'!F19:F28,Criterios!A10,
'UFCA - CR'!L19:L28,Criterios!A19)
+SUMIFS('UFCA - CR'!J19:J28,'UFCA - CR'!F19:F28,Criterios!A11,
'UFCA - CR'!L19:L28,Criterios!A19)
+SUMIFS('UFCA - CR'!J19:J28,'UFCA - CR'!F19:F28,Criterios!A12,
'UFCA - CR'!L19:L28,Criterios!A19)
+SUMIFS('UFCA - CR'!J19:J28,'UFCA - CR'!F19:F28,Criterios!A13,
'UFCA - CR'!L19:L28,Criterios!A19)
+SUMIFS('UFCA - CR'!J19:J28,'UFCA - CR'!F19:F28,Criterios!A14,
'UFCA - CR'!L19:L28,Criterios!A19)
+SUMIFS('UFCA - CR'!J19:J28,'UFCA - CR'!F19:F28,Criterios!A15,
'UFCA - CR'!L19:L28,Criterios!A19)
+SUMIFS('UFCA - CR'!J19:J28,'UFCA - CR'!F19:F28,Criterios!A4,
'UFCA - CR'!L19:L28,Criterios!A21)
+SUMIFS('UFCA - CR'!J19:J28,'UFCA - CR'!F19:F28,Criterios!A5,
'UFCA - CR'!L19:L28,Criterios!A21)
+SUMIFS('UFCA - CR'!J19:J28,'UFCA - CR'!F19:F28,Criterios!A6,
'UFCA - CR'!L19:L28,Criterios!A21)
+SUMIFS('UFCA - CR'!J19:J28,'UFCA - CR'!F19:F28,Criterios!A7,
'UFCA - CR'!L19:L28,Criterios!A21)
+SUMIFS('UFCA - CR'!J19:J28,'UFCA - CR'!F19:F28,Criterios!A8,
'UFCA - CR'!L19:L28,Criterios!A21)
+SUMIFS('UFCA - CR'!J19:J28,'UFCA - CR'!F19:F28,Criterios!A9,
'UFCA - CR'!L19:L28,Criterios!A21)
+SUMIFS('UFCA - CR'!J19:J28,'UFCA - CR'!F19:F28,Criterios!A10,
'UFCA - CR'!L19:L28,Criterios!A21)
+SUMIFS('UFCA - CR'!J19:J28,'UFCA - CR'!F19:F28,Criterios!A11,
'UFCA - CR'!L19:L28,Criterios!A21)
+SUMIFS('UFCA - CR'!J19:J28,'UFCA - CR'!F19:F28,Criterios!A12,
'UFCA - CR'!L19:L28,Criterios!A21)
+SUMIFS('UFCA - CR'!J19:J28,'UFCA - CR'!F19:F28,Criterios!A13,
'UFCA - CR'!L19:L28,Criterios!A21)
+SUMIFS('UFCA - CR'!J19:J28,'UFCA - CR'!F19:F28,Criterios!A14,
'UFCA - CR'!L19:L28,Criterios!A21)
+SUMIFS('UFCA - CR'!J19:J28,'UFCA - CR'!F19:F28,Criterios!A15,
'UFCA - CR'!L19:L28,Criterios!A21)</f>
        <v>88.2</v>
      </c>
      <c r="C58" s="15">
        <f>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CR'!L19:L28,Criterios!B19)
+SUMIFS('UFCA - CR'!J19:J28,'UFCA - CR'!F19:F28,Criterios!A5,
'UFCA - CR'!L19:L28,Criterios!B19)
+SUMIFS('UFCA - CR'!J19:J28,'UFCA - CR'!F19:F28,Criterios!A6,
'UFCA - CR'!L19:L28,Criterios!B19)
+SUMIFS('UFCA - CR'!J19:J28,'UFCA - CR'!F19:F28,Criterios!A8,
'UFCA - CR'!L19:L28,Criterios!B19)
+SUMIFS('UFCA - CR'!J19:J28,'UFCA - CR'!F19:F28,Criterios!A11,
'UFCA - CR'!L19:L28,Criterios!B19)
+SUMIFS('UFCA - CR'!J19:J28,'UFCA - CR'!F19:F28,Criterios!A12,
'UFCA - CR'!L19:L28,Criterios!B19)
+SUMIFS('UFCA - CR'!J19:J28,'UFCA - CR'!F19:F28,Criterios!A13,
'UFCA - CR'!L19:L28,Criterios!B19)
+SUMIFS('UFCA - CR'!J19:J28,'UFCA - CR'!F19:F28,Criterios!A14,
'UFCA - CR'!L19:L28,Criterios!B19)
+SUMIFS('UFCA - CR'!J19:J28,'UFCA - CR'!F19:F28,Criterios!A4,
'UFCA - CR'!L19:L28,Criterios!B21)
+SUMIFS('UFCA - CR'!J19:J28,'UFCA - CR'!F19:F28,Criterios!A5,
'UFCA - CR'!L19:L28,Criterios!B21)
+SUMIFS('UFCA - CR'!J19:J28,'UFCA - CR'!F19:F28,Criterios!A6,
'UFCA - CR'!L19:L28,Criterios!B21)
+SUMIFS('UFCA - CR'!J19:J28,'UFCA - CR'!F19:F28,Criterios!A8,
'UFCA - CR'!L19:L28,Criterios!B21)
+SUMIFS('UFCA - CR'!J19:J28,'UFCA - CR'!F19:F28,Criterios!A11,
'UFCA - CR'!L19:L28,Criterios!B21)
+SUMIFS('UFCA - CR'!J19:J28,'UFCA - CR'!F19:F28,Criterios!A12,
'UFCA - CR'!L19:L28,Criterios!B21)
+SUMIFS('UFCA - CR'!J19:J28,'UFCA - CR'!F19:F28,Criterios!A13,
'UFCA - CR'!L19:L28,Criterios!B21)
+SUMIFS('UFCA - CR'!J19:J28,'UFCA - CR'!F19:F28,Criterios!A14,
'UFCA - CR'!L19:L28,Criterios!B21)
+SUMIFS('UFCA - CR'!J19:J28,'UFCA - CR'!F19:F28,Criterios!B4,
'UFCA - CR'!L19:L28,Criterios!B19)
+SUMIFS('UFCA - CR'!J19:J28,'UFCA - CR'!F19:F28,Criterios!B5,
'UFCA - CR'!L19:L28,Criterios!B19)
+SUMIFS('UFCA - CR'!J19:J28,'UFCA - CR'!F19:F28,Criterios!B6,
'UFCA - CR'!L19:L28,Criterios!B19)
+SUMIFS('UFCA - CR'!J19:J28,'UFCA - CR'!F19:F28,Criterios!B7,
'UFCA - CR'!L19:L28,Criterios!B19)
+SUMIFS('UFCA - CR'!J19:J28,'UFCA - CR'!F19:F28,Criterios!B8,
'UFCA - CR'!L19:L28,Criterios!B19)</f>
        <v>0</v>
      </c>
      <c r="D58" s="15">
        <f>SUMIF('UFCA - CR'!F19:F28,Criterios!C4,'UFCA - CR'!J19:J28)</f>
        <v>0</v>
      </c>
      <c r="E58" s="15">
        <f>SUMIF('UFCA - CR'!F19:F28,Criterios!D4,'UFCA - CR'!J19:J28)</f>
        <v>0</v>
      </c>
      <c r="F58" s="15">
        <f>SUMIF('UFCA - CR'!F19:F28,Criterios!E4,'UFCA - CR'!J19:J28)</f>
        <v>184.5</v>
      </c>
      <c r="G58" s="15">
        <f>SUMIF('UFCA - CR'!F19:F28,Criterios!F4,'UFCA - CR'!J19:J28)</f>
        <v>20.2</v>
      </c>
      <c r="H58" s="15"/>
      <c r="I58" s="15">
        <f t="shared" si="8"/>
        <v>292.89999999999998</v>
      </c>
      <c r="K58">
        <f>SUMIF('UFCA - CR'!$C$4:$C$200,'TOTAL - CR'!A7,'UFCA - CR'!$J$4:$J$200)</f>
        <v>292.89999999999998</v>
      </c>
      <c r="L58" s="2">
        <f t="shared" si="9"/>
        <v>0</v>
      </c>
      <c r="M58" s="307" t="s">
        <v>1952</v>
      </c>
    </row>
    <row r="59" spans="1:13">
      <c r="A59" s="138" t="s">
        <v>1929</v>
      </c>
      <c r="B59" s="15">
        <f>SUMIFS('UFCA - CR'!J29:J51,'UFCA - CR'!F29:F51,Criterios!A4,
'UFCA - CR'!L29:L51,Criterios!A19)
+SUMIFS('UFCA - CR'!J29:J51,'UFCA - CR'!F29:F51,Criterios!A5,
'UFCA - CR'!L29:L51,Criterios!A19)
+SUMIFS('UFCA - CR'!J29:J51,'UFCA - CR'!F29:F51,Criterios!A6,
'UFCA - CR'!L29:L51,Criterios!A19)
+SUMIFS('UFCA - CR'!J29:J51,'UFCA - CR'!F29:F51,Criterios!A7,
'UFCA - CR'!L29:L51,Criterios!A19)
+SUMIFS('UFCA - CR'!J29:J51,'UFCA - CR'!F29:F51,Criterios!A8,
'UFCA - CR'!L29:L51,Criterios!A19)
+SUMIFS('UFCA - CR'!J29:J51,'UFCA - CR'!F29:F51,Criterios!A9,
'UFCA - CR'!L29:L51,Criterios!A19)
+SUMIFS('UFCA - CR'!J29:J51,'UFCA - CR'!F29:F51,Criterios!A10,
'UFCA - CR'!L29:L51,Criterios!A19)
+SUMIFS('UFCA - CR'!J29:J51,'UFCA - CR'!F29:F51,Criterios!A11,
'UFCA - CR'!L29:L51,Criterios!A19)
+SUMIFS('UFCA - CR'!J29:J51,'UFCA - CR'!F29:F51,Criterios!A12,
'UFCA - CR'!L29:L51,Criterios!A19)
+SUMIFS('UFCA - CR'!J29:J51,'UFCA - CR'!F29:F51,Criterios!A13,
'UFCA - CR'!L29:L51,Criterios!A19)
+SUMIFS('UFCA - CR'!J29:J51,'UFCA - CR'!F29:F51,Criterios!A14,
'UFCA - CR'!L29:L51,Criterios!A19)
+SUMIFS('UFCA - CR'!J29:J51,'UFCA - CR'!F29:F51,Criterios!A15,
'UFCA - CR'!L29:L51,Criterios!A19)
+SUMIFS('UFCA - CR'!J29:J51,'UFCA - CR'!F29:F51,Criterios!A4,
'UFCA - CR'!L29:L51,Criterios!A21)
+SUMIFS('UFCA - CR'!J29:J51,'UFCA - CR'!F29:F51,Criterios!A5,
'UFCA - CR'!L29:L51,Criterios!A21)
+SUMIFS('UFCA - CR'!J29:J51,'UFCA - CR'!F29:F51,Criterios!A6,
'UFCA - CR'!L29:L51,Criterios!A21)
+SUMIFS('UFCA - CR'!J29:J51,'UFCA - CR'!F29:F51,Criterios!A7,
'UFCA - CR'!L29:L51,Criterios!A21)
+SUMIFS('UFCA - CR'!J29:J51,'UFCA - CR'!F29:F51,Criterios!A8,
'UFCA - CR'!L29:L51,Criterios!A21)
+SUMIFS('UFCA - CR'!J29:J51,'UFCA - CR'!F29:F51,Criterios!A9,
'UFCA - CR'!L29:L51,Criterios!A21)
+SUMIFS('UFCA - CR'!J29:J51,'UFCA - CR'!F29:F51,Criterios!A10,
'UFCA - CR'!L29:L51,Criterios!A21)
+SUMIFS('UFCA - CR'!J29:J51,'UFCA - CR'!F29:F51,Criterios!A11,
'UFCA - CR'!L29:L51,Criterios!A21)
+SUMIFS('UFCA - CR'!J29:J51,'UFCA - CR'!F29:F51,Criterios!A12,
'UFCA - CR'!L29:L51,Criterios!A21)
+SUMIFS('UFCA - CR'!J29:J51,'UFCA - CR'!F29:F51,Criterios!A13,
'UFCA - CR'!L29:L51,Criterios!A21)
+SUMIFS('UFCA - CR'!J29:J51,'UFCA - CR'!F29:F51,Criterios!A14,
'UFCA - CR'!L29:L51,Criterios!A21)
+SUMIFS('UFCA - CR'!J29:J51,'UFCA - CR'!F29:F51,Criterios!A15,
'UFCA - CR'!L29:L51,Criterios!A21)</f>
        <v>161.42000000000002</v>
      </c>
      <c r="C59" s="15">
        <f>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CR'!L29:L51,Criterios!B19)
+SUMIFS('UFCA - CR'!J29:J51,'UFCA - CR'!F29:F51,Criterios!A5,
'UFCA - CR'!L29:L51,Criterios!B19)
+SUMIFS('UFCA - CR'!J29:J51,'UFCA - CR'!F29:F51,Criterios!A6,
'UFCA - CR'!L29:L51,Criterios!B19)
+SUMIFS('UFCA - CR'!J29:J51,'UFCA - CR'!F29:F51,Criterios!A8,
'UFCA - CR'!L29:L51,Criterios!B19)
+SUMIFS('UFCA - CR'!J29:J51,'UFCA - CR'!F29:F51,Criterios!A11,
'UFCA - CR'!L29:L51,Criterios!B19)
+SUMIFS('UFCA - CR'!J29:J51,'UFCA - CR'!F29:F51,Criterios!A12,
'UFCA - CR'!L29:L51,Criterios!B19)
+SUMIFS('UFCA - CR'!J29:J51,'UFCA - CR'!F29:F51,Criterios!A13,
'UFCA - CR'!L29:L51,Criterios!B19)
+SUMIFS('UFCA - CR'!J29:J51,'UFCA - CR'!F29:F51,Criterios!A14,
'UFCA - CR'!L29:L51,Criterios!B19)
+SUMIFS('UFCA - CR'!J29:J51,'UFCA - CR'!F29:F51,Criterios!A4,
'UFCA - CR'!L29:L51,Criterios!B21)
+SUMIFS('UFCA - CR'!J29:J51,'UFCA - CR'!F29:F51,Criterios!A5,
'UFCA - CR'!L29:L51,Criterios!B21)
+SUMIFS('UFCA - CR'!J29:J51,'UFCA - CR'!F29:F51,Criterios!A6,
'UFCA - CR'!L29:L51,Criterios!B21)
+SUMIFS('UFCA - CR'!J29:J51,'UFCA - CR'!F29:F51,Criterios!A8,
'UFCA - CR'!L29:L51,Criterios!B21)
+SUMIFS('UFCA - CR'!J29:J51,'UFCA - CR'!F29:F51,Criterios!A11,
'UFCA - CR'!L29:L51,Criterios!B21)
+SUMIFS('UFCA - CR'!J29:J51,'UFCA - CR'!F29:F51,Criterios!A12,
'UFCA - CR'!L29:L51,Criterios!B21)
+SUMIFS('UFCA - CR'!J29:J51,'UFCA - CR'!F29:F51,Criterios!A13,
'UFCA - CR'!L29:L51,Criterios!B21)
+SUMIFS('UFCA - CR'!J29:J51,'UFCA - CR'!F29:F51,Criterios!A14,
'UFCA - CR'!L29:L51,Criterios!B21)
+SUMIFS('UFCA - CR'!J29:J51,'UFCA - CR'!F29:F51,Criterios!B4,
'UFCA - CR'!L29:L51,Criterios!B19)
+SUMIFS('UFCA - CR'!J29:J51,'UFCA - CR'!F29:F51,Criterios!B5,
'UFCA - CR'!L29:L51,Criterios!B19)
+SUMIFS('UFCA - CR'!J29:J51,'UFCA - CR'!F29:F51,Criterios!B6,
'UFCA - CR'!L29:L51,Criterios!B19)
+SUMIFS('UFCA - CR'!J29:J51,'UFCA - CR'!F29:F51,Criterios!B7,
'UFCA - CR'!L29:L51,Criterios!B19)
+SUMIFS('UFCA - CR'!J29:J51,'UFCA - CR'!F29:F51,Criterios!B8,
'UFCA - CR'!L29:L51,Criterios!B19)</f>
        <v>0</v>
      </c>
      <c r="D59" s="15">
        <f>SUMIF('UFCA - CR'!F29:F51,Criterios!C4,'UFCA - CR'!J29:J51)</f>
        <v>374.45999999999992</v>
      </c>
      <c r="E59" s="15">
        <f>SUMIF('UFCA - CR'!F29:F51,Criterios!D4,'UFCA - CR'!J29:J51)</f>
        <v>0</v>
      </c>
      <c r="F59" s="15">
        <f>SUMIF('UFCA - CR'!F29:F51,Criterios!E4,'UFCA - CR'!J29:J51)</f>
        <v>271.14999999999998</v>
      </c>
      <c r="G59" s="15">
        <f>SUMIF('UFCA - CR'!F29:F51,Criterios!F4,'UFCA - CR'!J29:J51)</f>
        <v>37.4</v>
      </c>
      <c r="H59" s="15"/>
      <c r="I59" s="15">
        <f t="shared" si="8"/>
        <v>844.42999999999984</v>
      </c>
      <c r="K59">
        <f>SUMIF('UFCA - CR'!$C$4:$C$200,'TOTAL - CR'!A8,'UFCA - CR'!$J$4:$J$200)</f>
        <v>844.43000000000018</v>
      </c>
      <c r="L59" s="2">
        <f t="shared" si="9"/>
        <v>0</v>
      </c>
      <c r="M59" s="307" t="s">
        <v>1953</v>
      </c>
    </row>
    <row r="60" spans="1:13">
      <c r="A60" s="138" t="s">
        <v>1930</v>
      </c>
      <c r="B60" s="15">
        <f>SUMIFS('UFCA - CR'!J52:J58,'UFCA - CR'!F52:F58,Criterios!A4,
'UFCA - CR'!L52:L58,Criterios!A19)
+SUMIFS('UFCA - CR'!J52:J58,'UFCA - CR'!F52:F58,Criterios!A5,
'UFCA - CR'!L52:L58,Criterios!A19)
+SUMIFS('UFCA - CR'!J52:J58,'UFCA - CR'!F52:F58,Criterios!A6,
'UFCA - CR'!L52:L58,Criterios!A19)
+SUMIFS('UFCA - CR'!J52:J58,'UFCA - CR'!F52:F58,Criterios!A7,
'UFCA - CR'!L52:L58,Criterios!A19)
+SUMIFS('UFCA - CR'!J52:J58,'UFCA - CR'!F52:F58,Criterios!A8,
'UFCA - CR'!L52:L58,Criterios!A19)
+SUMIFS('UFCA - CR'!J52:J58,'UFCA - CR'!F52:F58,Criterios!A9,
'UFCA - CR'!L52:L58,Criterios!A19)
+SUMIFS('UFCA - CR'!J52:J58,'UFCA - CR'!F52:F58,Criterios!A10,
'UFCA - CR'!L52:L58,Criterios!A19)
+SUMIFS('UFCA - CR'!J52:J58,'UFCA - CR'!F52:F58,Criterios!A11,
'UFCA - CR'!L52:L58,Criterios!A19)
+SUMIFS('UFCA - CR'!J52:J58,'UFCA - CR'!F52:F58,Criterios!A12,
'UFCA - CR'!L52:L58,Criterios!A19)
+SUMIFS('UFCA - CR'!J52:J58,'UFCA - CR'!F52:F58,Criterios!A13,
'UFCA - CR'!L52:L58,Criterios!A19)
+SUMIFS('UFCA - CR'!J52:J58,'UFCA - CR'!F52:F58,Criterios!A14,
'UFCA - CR'!L52:L58,Criterios!A19)
+SUMIFS('UFCA - CR'!J52:J58,'UFCA - CR'!F52:F58,Criterios!A15,
'UFCA - CR'!L52:L58,Criterios!A19)
+SUMIFS('UFCA - CR'!J52:J58,'UFCA - CR'!F52:F58,Criterios!A4,
'UFCA - CR'!L52:L58,Criterios!A21)
+SUMIFS('UFCA - CR'!J52:J58,'UFCA - CR'!F52:F58,Criterios!A5,
'UFCA - CR'!L52:L58,Criterios!A21)
+SUMIFS('UFCA - CR'!J52:J58,'UFCA - CR'!F52:F58,Criterios!A6,
'UFCA - CR'!L52:L58,Criterios!A21)
+SUMIFS('UFCA - CR'!J52:J58,'UFCA - CR'!F52:F58,Criterios!A7,
'UFCA - CR'!L52:L58,Criterios!A21)
+SUMIFS('UFCA - CR'!J52:J58,'UFCA - CR'!F52:F58,Criterios!A8,
'UFCA - CR'!L52:L58,Criterios!A21)
+SUMIFS('UFCA - CR'!J52:J58,'UFCA - CR'!F52:F58,Criterios!A9,
'UFCA - CR'!L52:L58,Criterios!A21)
+SUMIFS('UFCA - CR'!J52:J58,'UFCA - CR'!F52:F58,Criterios!A10,
'UFCA - CR'!L52:L58,Criterios!A21)
+SUMIFS('UFCA - CR'!J52:J58,'UFCA - CR'!F52:F58,Criterios!A11,
'UFCA - CR'!L52:L58,Criterios!A21)
+SUMIFS('UFCA - CR'!J52:J58,'UFCA - CR'!F52:F58,Criterios!A12,
'UFCA - CR'!L52:L58,Criterios!A21)
+SUMIFS('UFCA - CR'!J52:J58,'UFCA - CR'!F52:F58,Criterios!A13,
'UFCA - CR'!L52:L58,Criterios!A21)
+SUMIFS('UFCA - CR'!J52:J58,'UFCA - CR'!F52:F58,Criterios!A14,
'UFCA - CR'!L52:L58,Criterios!A21)
+SUMIFS('UFCA - CR'!J52:J58,'UFCA - CR'!F52:F58,Criterios!A15,
'UFCA - CR'!L52:L58,Criterios!A21)</f>
        <v>462.26</v>
      </c>
      <c r="C60" s="15">
        <f>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CR'!L52:L58,Criterios!B19)
+SUMIFS('UFCA - CR'!J52:J58,'UFCA - CR'!F52:F58,Criterios!A5,
'UFCA - CR'!L52:L58,Criterios!B19)
+SUMIFS('UFCA - CR'!J52:J58,'UFCA - CR'!F52:F58,Criterios!A6,
'UFCA - CR'!L52:L58,Criterios!B19)
+SUMIFS('UFCA - CR'!J52:J58,'UFCA - CR'!F52:F58,Criterios!A8,
'UFCA - CR'!L52:L58,Criterios!B19)
+SUMIFS('UFCA - CR'!J52:J58,'UFCA - CR'!F52:F58,Criterios!A11,
'UFCA - CR'!L52:L58,Criterios!B19)
+SUMIFS('UFCA - CR'!J52:J58,'UFCA - CR'!F52:F58,Criterios!A12,
'UFCA - CR'!L52:L58,Criterios!B19)
+SUMIFS('UFCA - CR'!J52:J58,'UFCA - CR'!F52:F58,Criterios!A13,
'UFCA - CR'!L52:L58,Criterios!B19)
+SUMIFS('UFCA - CR'!J52:J58,'UFCA - CR'!F52:F58,Criterios!A14,
'UFCA - CR'!L52:L58,Criterios!B19)
+SUMIFS('UFCA - CR'!J52:J58,'UFCA - CR'!F52:F58,Criterios!A4,
'UFCA - CR'!L52:L58,Criterios!B21)
+SUMIFS('UFCA - CR'!J52:J58,'UFCA - CR'!F52:F58,Criterios!A5,
'UFCA - CR'!L52:L58,Criterios!B21)
+SUMIFS('UFCA - CR'!J52:J58,'UFCA - CR'!F52:F58,Criterios!A6,
'UFCA - CR'!L52:L58,Criterios!B21)
+SUMIFS('UFCA - CR'!J52:J58,'UFCA - CR'!F52:F58,Criterios!A8,
'UFCA - CR'!L52:L58,Criterios!B21)
+SUMIFS('UFCA - CR'!J52:J58,'UFCA - CR'!F52:F58,Criterios!A11,
'UFCA - CR'!L52:L58,Criterios!B21)
+SUMIFS('UFCA - CR'!J52:J58,'UFCA - CR'!F52:F58,Criterios!A12,
'UFCA - CR'!L52:L58,Criterios!B21)
+SUMIFS('UFCA - CR'!J52:J58,'UFCA - CR'!F52:F58,Criterios!A13,
'UFCA - CR'!L52:L58,Criterios!B21)
+SUMIFS('UFCA - CR'!J52:J58,'UFCA - CR'!F52:F58,Criterios!A14,
'UFCA - CR'!L52:L58,Criterios!B21)
+SUMIFS('UFCA - CR'!J52:J58,'UFCA - CR'!F52:F58,Criterios!B4,
'UFCA - CR'!L52:L58,Criterios!B19)
+SUMIFS('UFCA - CR'!J52:J58,'UFCA - CR'!F52:F58,Criterios!B5,
'UFCA - CR'!L52:L58,Criterios!B19)
+SUMIFS('UFCA - CR'!J52:J58,'UFCA - CR'!F52:F58,Criterios!B6,
'UFCA - CR'!L52:L58,Criterios!B19)
+SUMIFS('UFCA - CR'!J52:J58,'UFCA - CR'!F52:F58,Criterios!B7,
'UFCA - CR'!L52:L58,Criterios!B19)
+SUMIFS('UFCA - CR'!J52:J58,'UFCA - CR'!F52:F58,Criterios!B8,
'UFCA - CR'!L52:L58,Criterios!B19)</f>
        <v>0</v>
      </c>
      <c r="D60" s="15">
        <f>SUMIF('UFCA - CR'!F52:F58,Criterios!C4,'UFCA - CR'!J52:J58)</f>
        <v>0</v>
      </c>
      <c r="E60" s="15">
        <f>SUMIF('UFCA - CR'!F52:F58,Criterios!D4,'UFCA - CR'!J52:J58)</f>
        <v>0</v>
      </c>
      <c r="F60" s="15">
        <f>SUMIF('UFCA - CR'!F52:F58,Criterios!E4,'UFCA - CR'!J52:J58)</f>
        <v>0</v>
      </c>
      <c r="G60" s="15">
        <f>SUMIF('UFCA - CR'!F52:F58,Criterios!F4,'UFCA - CR'!J52:J58)</f>
        <v>2.15</v>
      </c>
      <c r="H60" s="15"/>
      <c r="I60" s="15">
        <f t="shared" si="8"/>
        <v>464.40999999999997</v>
      </c>
      <c r="K60">
        <f>SUMIF('UFCA - CR'!$C$4:$C$200,'TOTAL - CR'!A9,'UFCA - CR'!$J$4:$J$200)</f>
        <v>464.40999999999997</v>
      </c>
      <c r="L60" s="2">
        <f t="shared" si="9"/>
        <v>0</v>
      </c>
      <c r="M60" s="307" t="s">
        <v>1954</v>
      </c>
    </row>
    <row r="61" spans="1:13">
      <c r="A61" s="138" t="s">
        <v>1931</v>
      </c>
      <c r="B61" s="15">
        <f>SUMIFS('UFCA - CR'!J59:J71,'UFCA - CR'!F59:F71,Criterios!A4,
'UFCA - CR'!L59:L71,Criterios!A19)
+SUMIFS('UFCA - CR'!J59:J71,'UFCA - CR'!F59:F71,Criterios!A5,
'UFCA - CR'!L59:L71,Criterios!A19)
+SUMIFS('UFCA - CR'!J59:J71,'UFCA - CR'!F59:F71,Criterios!A6,
'UFCA - CR'!L59:L71,Criterios!A19)
+SUMIFS('UFCA - CR'!J59:J71,'UFCA - CR'!F59:F71,Criterios!A7,
'UFCA - CR'!L59:L71,Criterios!A19)
+SUMIFS('UFCA - CR'!J59:J71,'UFCA - CR'!F59:F71,Criterios!A8,
'UFCA - CR'!L59:L71,Criterios!A19)
+SUMIFS('UFCA - CR'!J59:J71,'UFCA - CR'!F59:F71,Criterios!A9,
'UFCA - CR'!L59:L71,Criterios!A19)
+SUMIFS('UFCA - CR'!J59:J71,'UFCA - CR'!F59:F71,Criterios!A10,
'UFCA - CR'!L59:L71,Criterios!A19)
+SUMIFS('UFCA - CR'!J59:J71,'UFCA - CR'!F59:F71,Criterios!A11,
'UFCA - CR'!L59:L71,Criterios!A19)
+SUMIFS('UFCA - CR'!J59:J71,'UFCA - CR'!F59:F71,Criterios!A12,
'UFCA - CR'!L59:L71,Criterios!A19)
+SUMIFS('UFCA - CR'!J59:J71,'UFCA - CR'!F59:F71,Criterios!A13,
'UFCA - CR'!L59:L71,Criterios!A19)
+SUMIFS('UFCA - CR'!J59:J71,'UFCA - CR'!F59:F71,Criterios!A14,
'UFCA - CR'!L59:L71,Criterios!A19)
+SUMIFS('UFCA - CR'!J59:J71,'UFCA - CR'!F59:F71,Criterios!A15,
'UFCA - CR'!L59:L71,Criterios!A19)
+SUMIFS('UFCA - CR'!J59:J71,'UFCA - CR'!F59:F71,Criterios!A4,
'UFCA - CR'!L59:L71,Criterios!A21)
+SUMIFS('UFCA - CR'!J59:J71,'UFCA - CR'!F59:F71,Criterios!A5,
'UFCA - CR'!L59:L71,Criterios!A21)
+SUMIFS('UFCA - CR'!J59:J71,'UFCA - CR'!F59:F71,Criterios!A6,
'UFCA - CR'!L59:L71,Criterios!A21)
+SUMIFS('UFCA - CR'!J59:J71,'UFCA - CR'!F59:F71,Criterios!A7,
'UFCA - CR'!L59:L71,Criterios!A21)
+SUMIFS('UFCA - CR'!J59:J71,'UFCA - CR'!F59:F71,Criterios!A8,
'UFCA - CR'!L59:L71,Criterios!A21)
+SUMIFS('UFCA - CR'!J59:J71,'UFCA - CR'!F59:F71,Criterios!A9,
'UFCA - CR'!L59:L71,Criterios!A21)
+SUMIFS('UFCA - CR'!J59:J71,'UFCA - CR'!F59:F71,Criterios!A10,
'UFCA - CR'!L59:L71,Criterios!A21)
+SUMIFS('UFCA - CR'!J59:J71,'UFCA - CR'!F59:F71,Criterios!A11,
'UFCA - CR'!L59:L71,Criterios!A21)
+SUMIFS('UFCA - CR'!J59:J71,'UFCA - CR'!F59:F71,Criterios!A12,
'UFCA - CR'!L59:L71,Criterios!A21)
+SUMIFS('UFCA - CR'!J59:J71,'UFCA - CR'!F59:F71,Criterios!A13,
'UFCA - CR'!L59:L71,Criterios!A21)
+SUMIFS('UFCA - CR'!J59:J71,'UFCA - CR'!F59:F71,Criterios!A14,
'UFCA - CR'!L59:L71,Criterios!A21)
+SUMIFS('UFCA - CR'!J59:J71,'UFCA - CR'!F59:F71,Criterios!A15,
'UFCA - CR'!L59:L71,Criterios!A21)</f>
        <v>11.4</v>
      </c>
      <c r="C61" s="15">
        <f>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CR'!L59:L71,Criterios!B19)
+SUMIFS('UFCA - CR'!J59:J71,'UFCA - CR'!F59:F71,Criterios!A5,
'UFCA - CR'!L59:L71,Criterios!B19)
+SUMIFS('UFCA - CR'!J59:J71,'UFCA - CR'!F59:F71,Criterios!A6,
'UFCA - CR'!L59:L71,Criterios!B19)
+SUMIFS('UFCA - CR'!J59:J71,'UFCA - CR'!F59:F71,Criterios!A8,
'UFCA - CR'!L59:L71,Criterios!B19)
+SUMIFS('UFCA - CR'!J59:J71,'UFCA - CR'!F59:F71,Criterios!A11,
'UFCA - CR'!L59:L71,Criterios!B19)
+SUMIFS('UFCA - CR'!J59:J71,'UFCA - CR'!F59:F71,Criterios!A12,
'UFCA - CR'!L59:L71,Criterios!B19)
+SUMIFS('UFCA - CR'!J59:J71,'UFCA - CR'!F59:F71,Criterios!A13,
'UFCA - CR'!L59:L71,Criterios!B19)
+SUMIFS('UFCA - CR'!J59:J71,'UFCA - CR'!F59:F71,Criterios!A14,
'UFCA - CR'!L59:L71,Criterios!B19)
+SUMIFS('UFCA - CR'!J59:J71,'UFCA - CR'!F59:F71,Criterios!A4,
'UFCA - CR'!L59:L71,Criterios!B21)
+SUMIFS('UFCA - CR'!J59:J71,'UFCA - CR'!F59:F71,Criterios!A5,
'UFCA - CR'!L59:L71,Criterios!B21)
+SUMIFS('UFCA - CR'!J59:J71,'UFCA - CR'!F59:F71,Criterios!A6,
'UFCA - CR'!L59:L71,Criterios!B21)
+SUMIFS('UFCA - CR'!J59:J71,'UFCA - CR'!F59:F71,Criterios!A8,
'UFCA - CR'!L59:L71,Criterios!B21)
+SUMIFS('UFCA - CR'!J59:J71,'UFCA - CR'!F59:F71,Criterios!A11,
'UFCA - CR'!L59:L71,Criterios!B21)
+SUMIFS('UFCA - CR'!J59:J71,'UFCA - CR'!F59:F71,Criterios!A12,
'UFCA - CR'!L59:L71,Criterios!B21)
+SUMIFS('UFCA - CR'!J59:J71,'UFCA - CR'!F59:F71,Criterios!A13,
'UFCA - CR'!L59:L71,Criterios!B21)
+SUMIFS('UFCA - CR'!J59:J71,'UFCA - CR'!F59:F71,Criterios!A14,
'UFCA - CR'!L59:L71,Criterios!B21)
+SUMIFS('UFCA - CR'!J59:J71,'UFCA - CR'!F59:F71,Criterios!B4,
'UFCA - CR'!L59:L71,Criterios!B19)
+SUMIFS('UFCA - CR'!J59:J71,'UFCA - CR'!F59:F71,Criterios!B5,
'UFCA - CR'!L59:L71,Criterios!B19)
+SUMIFS('UFCA - CR'!J59:J71,'UFCA - CR'!F59:F71,Criterios!B6,
'UFCA - CR'!L59:L71,Criterios!B19)
+SUMIFS('UFCA - CR'!J59:J71,'UFCA - CR'!F59:F71,Criterios!B7,
'UFCA - CR'!L59:L71,Criterios!B19)
+SUMIFS('UFCA - CR'!J59:J71,'UFCA - CR'!F59:F71,Criterios!B8,
'UFCA - CR'!L59:L71,Criterios!B19)</f>
        <v>0</v>
      </c>
      <c r="D61" s="15">
        <f>SUMIF('UFCA - CR'!F59:F71,Criterios!C4,'UFCA - CR'!J59:J71)</f>
        <v>437.73</v>
      </c>
      <c r="E61" s="15">
        <f>SUMIF('UFCA - CR'!F59:F71,Criterios!D4,'UFCA - CR'!J59:J71)</f>
        <v>0</v>
      </c>
      <c r="F61" s="15">
        <f>SUMIF('UFCA - CR'!F59:F71,Criterios!E4,'UFCA - CR'!J59:J71)</f>
        <v>268.14999999999998</v>
      </c>
      <c r="G61" s="15">
        <f>SUMIF('UFCA - CR'!F59:F71,Criterios!F4,'UFCA - CR'!J59:J71)</f>
        <v>37.4</v>
      </c>
      <c r="H61" s="15"/>
      <c r="I61" s="15">
        <f t="shared" si="8"/>
        <v>754.68</v>
      </c>
      <c r="K61">
        <f>SUMIF('UFCA - CR'!$C$4:$C$200,'TOTAL - CR'!A10,'UFCA - CR'!$J$4:$J$200)</f>
        <v>754.68</v>
      </c>
      <c r="L61" s="2">
        <f t="shared" si="9"/>
        <v>0</v>
      </c>
      <c r="M61" s="307" t="s">
        <v>1955</v>
      </c>
    </row>
    <row r="62" spans="1:13">
      <c r="A62" s="138" t="s">
        <v>1932</v>
      </c>
      <c r="B62" s="15">
        <f>SUMIFS('UFCA - CR'!J72:J79,'UFCA - CR'!F72:F79,Criterios!A4,
'UFCA - CR'!L72:L79,Criterios!A19)
+SUMIFS('UFCA - CR'!J72:J79,'UFCA - CR'!F72:F79,Criterios!A5,
'UFCA - CR'!L72:L79,Criterios!A19)
+SUMIFS('UFCA - CR'!J72:J79,'UFCA - CR'!F72:F79,Criterios!A6,
'UFCA - CR'!L72:L79,Criterios!A19)
+SUMIFS('UFCA - CR'!J72:J79,'UFCA - CR'!F72:F79,Criterios!A7,
'UFCA - CR'!L72:L79,Criterios!A19)
+SUMIFS('UFCA - CR'!J72:J79,'UFCA - CR'!F72:F79,Criterios!A8,
'UFCA - CR'!L72:L79,Criterios!A19)
+SUMIFS('UFCA - CR'!J72:J79,'UFCA - CR'!F72:F79,Criterios!A9,
'UFCA - CR'!L72:L79,Criterios!A19)
+SUMIFS('UFCA - CR'!J72:J79,'UFCA - CR'!F72:F79,Criterios!A10,
'UFCA - CR'!L72:L79,Criterios!A19)
+SUMIFS('UFCA - CR'!J72:J79,'UFCA - CR'!F72:F79,Criterios!A11,
'UFCA - CR'!L72:L79,Criterios!A19)
+SUMIFS('UFCA - CR'!J72:J79,'UFCA - CR'!F72:F79,Criterios!A12,
'UFCA - CR'!L72:L79,Criterios!A19)
+SUMIFS('UFCA - CR'!J72:J79,'UFCA - CR'!F72:F79,Criterios!A13,
'UFCA - CR'!L72:L79,Criterios!A19)
+SUMIFS('UFCA - CR'!J72:J79,'UFCA - CR'!F72:F79,Criterios!A14,
'UFCA - CR'!L72:L79,Criterios!A19)
+SUMIFS('UFCA - CR'!J72:J79,'UFCA - CR'!F72:F79,Criterios!A15,
'UFCA - CR'!L72:L79,Criterios!A19)
+SUMIFS('UFCA - CR'!J72:J79,'UFCA - CR'!F72:F79,Criterios!A4,
'UFCA - CR'!L72:L79,Criterios!A21)
+SUMIFS('UFCA - CR'!J72:J79,'UFCA - CR'!F72:F79,Criterios!A5,
'UFCA - CR'!L72:L79,Criterios!A21)
+SUMIFS('UFCA - CR'!J72:J79,'UFCA - CR'!F72:F79,Criterios!A6,
'UFCA - CR'!L72:L79,Criterios!A21)
+SUMIFS('UFCA - CR'!J72:J79,'UFCA - CR'!F72:F79,Criterios!A7,
'UFCA - CR'!L72:L79,Criterios!A21)
+SUMIFS('UFCA - CR'!J72:J79,'UFCA - CR'!F72:F79,Criterios!A8,
'UFCA - CR'!L72:L79,Criterios!A21)
+SUMIFS('UFCA - CR'!J72:J79,'UFCA - CR'!F72:F79,Criterios!A9,
'UFCA - CR'!L72:L79,Criterios!A21)
+SUMIFS('UFCA - CR'!J72:J79,'UFCA - CR'!F72:F79,Criterios!A10,
'UFCA - CR'!L72:L79,Criterios!A21)
+SUMIFS('UFCA - CR'!J72:J79,'UFCA - CR'!F72:F79,Criterios!A11,
'UFCA - CR'!L72:L79,Criterios!A21)
+SUMIFS('UFCA - CR'!J72:J79,'UFCA - CR'!F72:F79,Criterios!A12,
'UFCA - CR'!L72:L79,Criterios!A21)
+SUMIFS('UFCA - CR'!J72:J79,'UFCA - CR'!F72:F79,Criterios!A13,
'UFCA - CR'!L72:L79,Criterios!A21)
+SUMIFS('UFCA - CR'!J72:J79,'UFCA - CR'!F72:F79,Criterios!A14,
'UFCA - CR'!L72:L79,Criterios!A21)
+SUMIFS('UFCA - CR'!J72:J79,'UFCA - CR'!F72:F79,Criterios!A15,
'UFCA - CR'!L72:L79,Criterios!A21)</f>
        <v>71.83</v>
      </c>
      <c r="C62" s="15">
        <f>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CR'!L72:L79,Criterios!B19)
+SUMIFS('UFCA - CR'!J72:J79,'UFCA - CR'!F72:F79,Criterios!A5,
'UFCA - CR'!L72:L79,Criterios!B19)
+SUMIFS('UFCA - CR'!J72:J79,'UFCA - CR'!F72:F79,Criterios!A6,
'UFCA - CR'!L72:L79,Criterios!B19)
+SUMIFS('UFCA - CR'!J72:J79,'UFCA - CR'!F72:F79,Criterios!A8,
'UFCA - CR'!L72:L79,Criterios!B19)
+SUMIFS('UFCA - CR'!J72:J79,'UFCA - CR'!F72:F79,Criterios!A11,
'UFCA - CR'!L72:L79,Criterios!B19)
+SUMIFS('UFCA - CR'!J72:J79,'UFCA - CR'!F72:F79,Criterios!A12,
'UFCA - CR'!L72:L79,Criterios!B19)
+SUMIFS('UFCA - CR'!J72:J79,'UFCA - CR'!F72:F79,Criterios!A13,
'UFCA - CR'!L72:L79,Criterios!B19)
+SUMIFS('UFCA - CR'!J72:J79,'UFCA - CR'!F72:F79,Criterios!A14,
'UFCA - CR'!L72:L79,Criterios!B19)
+SUMIFS('UFCA - CR'!J72:J79,'UFCA - CR'!F72:F79,Criterios!A4,
'UFCA - CR'!L72:L79,Criterios!B21)
+SUMIFS('UFCA - CR'!J72:J79,'UFCA - CR'!F72:F79,Criterios!A5,
'UFCA - CR'!L72:L79,Criterios!B21)
+SUMIFS('UFCA - CR'!J72:J79,'UFCA - CR'!F72:F79,Criterios!A6,
'UFCA - CR'!L72:L79,Criterios!B21)
+SUMIFS('UFCA - CR'!J72:J79,'UFCA - CR'!F72:F79,Criterios!A8,
'UFCA - CR'!L72:L79,Criterios!B21)
+SUMIFS('UFCA - CR'!J72:J79,'UFCA - CR'!F72:F79,Criterios!A11,
'UFCA - CR'!L72:L79,Criterios!B21)
+SUMIFS('UFCA - CR'!J72:J79,'UFCA - CR'!F72:F79,Criterios!A12,
'UFCA - CR'!L72:L79,Criterios!B21)
+SUMIFS('UFCA - CR'!J72:J79,'UFCA - CR'!F72:F79,Criterios!A13,
'UFCA - CR'!L72:L79,Criterios!B21)
+SUMIFS('UFCA - CR'!J72:J79,'UFCA - CR'!F72:F79,Criterios!A14,
'UFCA - CR'!L72:L79,Criterios!B21)
+SUMIFS('UFCA - CR'!J72:J79,'UFCA - CR'!F72:F79,Criterios!B4,
'UFCA - CR'!L72:L79,Criterios!B19)
+SUMIFS('UFCA - CR'!J72:J79,'UFCA - CR'!F72:F79,Criterios!B5,
'UFCA - CR'!L72:L79,Criterios!B19)
+SUMIFS('UFCA - CR'!J72:J79,'UFCA - CR'!F72:F79,Criterios!B6,
'UFCA - CR'!L72:L79,Criterios!B19)
+SUMIFS('UFCA - CR'!J72:J79,'UFCA - CR'!F72:F79,Criterios!B7,
'UFCA - CR'!L72:L79,Criterios!B19)
+SUMIFS('UFCA - CR'!J72:J79,'UFCA - CR'!F72:F79,Criterios!B8,
'UFCA - CR'!L72:L79,Criterios!B19)</f>
        <v>0</v>
      </c>
      <c r="D62" s="15">
        <f>SUMIF('UFCA - CR'!F72:F79,Criterios!C4,'UFCA - CR'!J72:J79)</f>
        <v>62.3</v>
      </c>
      <c r="E62" s="15">
        <f>SUMIF('UFCA - CR'!F72:F79,Criterios!D4,'UFCA - CR'!J72:J79)
+SUMIF('UFCA - CR'!F72:F79,Criterios!D5,'UFCA - CR'!J72:J79)</f>
        <v>223.74</v>
      </c>
      <c r="F62" s="15">
        <f>SUMIF('UFCA - CR'!F72:F79,Criterios!E4,'UFCA - CR'!J72:J79)</f>
        <v>7.5</v>
      </c>
      <c r="G62" s="15">
        <f>SUMIF('UFCA - CR'!F72:F79,Criterios!F4,'UFCA - CR'!J72:J79)</f>
        <v>30.6</v>
      </c>
      <c r="H62" s="15"/>
      <c r="I62" s="15">
        <f t="shared" si="8"/>
        <v>395.97</v>
      </c>
      <c r="K62">
        <f>SUMIF('UFCA - CR'!$C$4:$C$200,'TOTAL - CR'!A11,'UFCA - CR'!$J$4:$J$200)</f>
        <v>395.97</v>
      </c>
      <c r="L62" s="2">
        <f t="shared" si="9"/>
        <v>0</v>
      </c>
      <c r="M62" s="307" t="s">
        <v>1956</v>
      </c>
    </row>
    <row r="63" spans="1:13">
      <c r="A63" s="138" t="s">
        <v>1933</v>
      </c>
      <c r="B63" s="15">
        <f>SUMIFS('UFCA - CR'!J80:J183,'UFCA - CR'!F80:F183,Criterios!A4,
'UFCA - CR'!L80:L183,Criterios!A19)
+SUMIFS('UFCA - CR'!J80:J183,'UFCA - CR'!F80:F183,Criterios!A5,
'UFCA - CR'!L80:L183,Criterios!A19)
+SUMIFS('UFCA - CR'!J80:J183,'UFCA - CR'!F80:F183,Criterios!A6,
'UFCA - CR'!L80:L183,Criterios!A19)
+SUMIFS('UFCA - CR'!J80:J183,'UFCA - CR'!F80:F183,Criterios!A7,
'UFCA - CR'!L80:L183,Criterios!A19)
+SUMIFS('UFCA - CR'!J80:J183,'UFCA - CR'!F80:F183,Criterios!A8,
'UFCA - CR'!L80:L183,Criterios!A19)
+SUMIFS('UFCA - CR'!J80:J183,'UFCA - CR'!F80:F183,Criterios!A9,
'UFCA - CR'!L80:L183,Criterios!A19)
+SUMIFS('UFCA - CR'!J80:J183,'UFCA - CR'!F80:F183,Criterios!A10,
'UFCA - CR'!L80:L183,Criterios!A19)
+SUMIFS('UFCA - CR'!J80:J183,'UFCA - CR'!F80:F183,Criterios!A11,
'UFCA - CR'!L80:L183,Criterios!A19)
+SUMIFS('UFCA - CR'!J80:J183,'UFCA - CR'!F80:F183,Criterios!A12,
'UFCA - CR'!L80:L183,Criterios!A19)
+SUMIFS('UFCA - CR'!J80:J183,'UFCA - CR'!F80:F183,Criterios!A13,
'UFCA - CR'!L80:L183,Criterios!A19)
+SUMIFS('UFCA - CR'!J80:J183,'UFCA - CR'!F80:F183,Criterios!A14,
'UFCA - CR'!L80:L183,Criterios!A19)
+SUMIFS('UFCA - CR'!J80:J183,'UFCA - CR'!F80:F183,Criterios!A15,
'UFCA - CR'!L80:L183,Criterios!A19)
+SUMIFS('UFCA - CR'!J80:J183,'UFCA - CR'!F80:F183,Criterios!A4,
'UFCA - CR'!L80:L183,Criterios!A21)
+SUMIFS('UFCA - CR'!J80:J183,'UFCA - CR'!F80:F183,Criterios!A5,
'UFCA - CR'!L80:L183,Criterios!A21)
+SUMIFS('UFCA - CR'!J80:J183,'UFCA - CR'!F80:F183,Criterios!A6,
'UFCA - CR'!L80:L183,Criterios!A21)
+SUMIFS('UFCA - CR'!J80:J183,'UFCA - CR'!F80:F183,Criterios!A7,
'UFCA - CR'!L80:L183,Criterios!A21)
+SUMIFS('UFCA - CR'!J80:J183,'UFCA - CR'!F80:F183,Criterios!A8,
'UFCA - CR'!L80:L183,Criterios!A21)
+SUMIFS('UFCA - CR'!J80:J183,'UFCA - CR'!F80:F183,Criterios!A9,
'UFCA - CR'!L80:L183,Criterios!A21)
+SUMIFS('UFCA - CR'!J80:J183,'UFCA - CR'!F80:F183,Criterios!A10,
'UFCA - CR'!L80:L183,Criterios!A21)
+SUMIFS('UFCA - CR'!J80:J183,'UFCA - CR'!F80:F183,Criterios!A11,
'UFCA - CR'!L80:L183,Criterios!A21)
+SUMIFS('UFCA - CR'!J80:J183,'UFCA - CR'!F80:F183,Criterios!A12,
'UFCA - CR'!L80:L183,Criterios!A21)
+SUMIFS('UFCA - CR'!J80:J183,'UFCA - CR'!F80:F183,Criterios!A13,
'UFCA - CR'!L80:L183,Criterios!A21)
+SUMIFS('UFCA - CR'!J80:J183,'UFCA - CR'!F80:F183,Criterios!A14,
'UFCA - CR'!L80:L183,Criterios!A21)
+SUMIFS('UFCA - CR'!J80:J183,'UFCA - CR'!F80:F183,Criterios!A15,
'UFCA - CR'!L80:L183,Criterios!A21)</f>
        <v>2227.8999999999996</v>
      </c>
      <c r="C63" s="15">
        <f>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CR'!L80:L183,Criterios!B19)
+SUMIFS('UFCA - CR'!J80:J183,'UFCA - CR'!F80:F183,Criterios!A5,
'UFCA - CR'!L80:L183,Criterios!B19)
+SUMIFS('UFCA - CR'!J80:J183,'UFCA - CR'!F80:F183,Criterios!A6,
'UFCA - CR'!L80:L183,Criterios!B19)
+SUMIFS('UFCA - CR'!J80:J183,'UFCA - CR'!F80:F183,Criterios!A8,
'UFCA - CR'!L80:L183,Criterios!B19)
+SUMIFS('UFCA - CR'!J80:J183,'UFCA - CR'!F80:F183,Criterios!A11,
'UFCA - CR'!L80:L183,Criterios!B19)
+SUMIFS('UFCA - CR'!J80:J183,'UFCA - CR'!F80:F183,Criterios!A12,
'UFCA - CR'!L80:L183,Criterios!B19)
+SUMIFS('UFCA - CR'!J80:J183,'UFCA - CR'!F80:F183,Criterios!A13,
'UFCA - CR'!L80:L183,Criterios!B19)
+SUMIFS('UFCA - CR'!J80:J183,'UFCA - CR'!F80:F183,Criterios!A14,
'UFCA - CR'!L80:L183,Criterios!B19)
+SUMIFS('UFCA - CR'!J80:J183,'UFCA - CR'!F80:F183,Criterios!A4,
'UFCA - CR'!L80:L183,Criterios!B21)
+SUMIFS('UFCA - CR'!J80:J183,'UFCA - CR'!F80:F183,Criterios!A5,
'UFCA - CR'!L80:L183,Criterios!B21)
+SUMIFS('UFCA - CR'!J80:J183,'UFCA - CR'!F80:F183,Criterios!A6,
'UFCA - CR'!L80:L183,Criterios!B21)
+SUMIFS('UFCA - CR'!J80:J183,'UFCA - CR'!F80:F183,Criterios!A8,
'UFCA - CR'!L80:L183,Criterios!B21)
+SUMIFS('UFCA - CR'!J80:J183,'UFCA - CR'!F80:F183,Criterios!A11,
'UFCA - CR'!L80:L183,Criterios!B21)
+SUMIFS('UFCA - CR'!J80:J183,'UFCA - CR'!F80:F183,Criterios!A12,
'UFCA - CR'!L80:L183,Criterios!B21)
+SUMIFS('UFCA - CR'!J80:J183,'UFCA - CR'!F80:F183,Criterios!A13,
'UFCA - CR'!L80:L183,Criterios!B21)
+SUMIFS('UFCA - CR'!J80:J183,'UFCA - CR'!F80:F183,Criterios!A14,
'UFCA - CR'!L80:L183,Criterios!B21)
+SUMIFS('UFCA - CR'!J80:J183,'UFCA - CR'!F80:F183,Criterios!B4,
'UFCA - CR'!L80:L183,Criterios!B19)
+SUMIFS('UFCA - CR'!J80:J183,'UFCA - CR'!F80:F183,Criterios!B5,
'UFCA - CR'!L80:L183,Criterios!B19)
+SUMIFS('UFCA - CR'!J80:J183,'UFCA - CR'!F80:F183,Criterios!B6,
'UFCA - CR'!L80:L183,Criterios!B19)
+SUMIFS('UFCA - CR'!J80:J183,'UFCA - CR'!F80:F183,Criterios!B7,
'UFCA - CR'!L80:L183,Criterios!B19)
+SUMIFS('UFCA - CR'!J80:J183,'UFCA - CR'!F80:F183,Criterios!B8,
'UFCA - CR'!L80:L183,Criterios!B19)</f>
        <v>28.060000000000002</v>
      </c>
      <c r="D63" s="15">
        <f>SUMIF('UFCA - CR'!F80:F183,Criterios!C4,'UFCA - CR'!J80:J183)</f>
        <v>0</v>
      </c>
      <c r="E63" s="15">
        <f>SUMIF('UFCA - CR'!F80:F183,Criterios!D4,'UFCA - CR'!J80:J183)</f>
        <v>0</v>
      </c>
      <c r="F63" s="15">
        <f>SUMIF('UFCA - CR'!F80:F183,Criterios!E4,'UFCA - CR'!J80:J183)</f>
        <v>702.62999999999977</v>
      </c>
      <c r="G63" s="15">
        <f>SUMIF('UFCA - CR'!F80:F183,Criterios!F4,'UFCA - CR'!J80:J183)</f>
        <v>133.5</v>
      </c>
      <c r="H63" s="15"/>
      <c r="I63" s="15">
        <f t="shared" si="8"/>
        <v>3092.0899999999992</v>
      </c>
      <c r="K63">
        <f>SUMIF('UFCA - CR'!$C$4:$C$200,'TOTAL - CR'!A12,'UFCA - CR'!$J$4:$J$200)</f>
        <v>3092.0899999999992</v>
      </c>
      <c r="L63" s="2">
        <f t="shared" si="9"/>
        <v>0</v>
      </c>
      <c r="M63" s="307" t="s">
        <v>1957</v>
      </c>
    </row>
    <row r="64" spans="1:13">
      <c r="A64" s="138" t="s">
        <v>1233</v>
      </c>
      <c r="B64" s="15">
        <f>SUMIF('UFCA - CR'!F184:F192,Criterios!A9,'UFCA - CR'!J184:J192)</f>
        <v>2.5299999999999998</v>
      </c>
      <c r="C64" s="15"/>
      <c r="D64" s="15"/>
      <c r="E64" s="15"/>
      <c r="F64" s="15">
        <f>SUMIF('UFCA - CR'!F184:F192,Criterios!E4,'UFCA - CR'!J184:J192)
+SUMIF('UFCA - CR'!F184:F192,Criterios!E5,'UFCA - CR'!J184:J192)
+SUMIF('UFCA - CR'!F184:F192,Criterios!E6,'UFCA - CR'!J184:J192)</f>
        <v>672.87</v>
      </c>
      <c r="G64" s="15">
        <f>SUMIF('UFCA - CR'!F184:F192,Criterios!F4,'UFCA - CR'!J184:J192)</f>
        <v>37.08</v>
      </c>
      <c r="H64" s="15"/>
      <c r="I64" s="15">
        <f t="shared" si="8"/>
        <v>712.48</v>
      </c>
      <c r="K64">
        <f>SUMIF('UFCA - CR'!$C$4:$C$200,'TOTAL - CR'!A13,'UFCA - CR'!$J$4:$J$200)</f>
        <v>712.47999999999979</v>
      </c>
      <c r="L64" s="2">
        <f t="shared" si="9"/>
        <v>0</v>
      </c>
      <c r="M64" s="307" t="s">
        <v>1958</v>
      </c>
    </row>
    <row r="65" spans="1:13">
      <c r="A65" s="138" t="s">
        <v>606</v>
      </c>
      <c r="B65" s="15">
        <f>SUMIF('UFCA - CR'!F4:F5,Criterios!A4,'UFCA - CR'!J4:J5)</f>
        <v>5.6</v>
      </c>
      <c r="C65" s="15"/>
      <c r="D65" s="15"/>
      <c r="E65" s="15"/>
      <c r="F65" s="15"/>
      <c r="G65" s="15">
        <f>SUMIF('UFCA - CR'!F4:F5,Criterios!F4,'UFCA - CR'!J4:J5)</f>
        <v>1.7</v>
      </c>
      <c r="H65" s="15"/>
      <c r="I65" s="15">
        <f t="shared" si="8"/>
        <v>7.3</v>
      </c>
      <c r="K65">
        <f>SUMIF('UFCA - CR'!$C$4:$C$200,'TOTAL - CR'!A14,'UFCA - CR'!$J$4:$J$200)</f>
        <v>7.3</v>
      </c>
      <c r="L65" s="2">
        <f t="shared" si="9"/>
        <v>0</v>
      </c>
      <c r="M65" s="307" t="s">
        <v>1959</v>
      </c>
    </row>
    <row r="66" spans="1:13">
      <c r="A66" s="138" t="s">
        <v>246</v>
      </c>
      <c r="B66" s="15">
        <f>SUM('UFCA - CR'!J193:J194)</f>
        <v>1264.82</v>
      </c>
      <c r="C66" s="15" t="s">
        <v>100</v>
      </c>
      <c r="D66" s="15" t="s">
        <v>100</v>
      </c>
      <c r="E66" s="15" t="s">
        <v>100</v>
      </c>
      <c r="F66" s="15" t="s">
        <v>100</v>
      </c>
      <c r="G66" s="15" t="s">
        <v>100</v>
      </c>
      <c r="H66" s="15"/>
      <c r="I66" s="15">
        <f t="shared" si="8"/>
        <v>1264.82</v>
      </c>
      <c r="K66">
        <f>SUMIF('UFCA - CR'!$C$4:$C$200,'TOTAL - CR'!A15,'UFCA - CR'!$J$4:$J$200)</f>
        <v>1264.82</v>
      </c>
      <c r="L66" s="2">
        <f t="shared" si="9"/>
        <v>0</v>
      </c>
      <c r="M66" s="307" t="s">
        <v>1960</v>
      </c>
    </row>
    <row r="67" spans="1:13">
      <c r="A67" s="138" t="s">
        <v>108</v>
      </c>
      <c r="B67" s="15"/>
      <c r="C67" s="15">
        <f>SUM('UFCA - CR'!I209:I225)-F42-G42</f>
        <v>508.85000000000008</v>
      </c>
      <c r="D67" s="15"/>
      <c r="E67" s="15"/>
      <c r="F67" s="15">
        <f>SUMIF('UFCA - CR'!F209:F225,Criterios!E4,'UFCA - CR'!I209:I225)</f>
        <v>63.68</v>
      </c>
      <c r="G67" s="15">
        <f>SUMIF('UFCA - CR'!F209:F225,Criterios!F4,'UFCA - CR'!I209:I225)</f>
        <v>30.430000000000003</v>
      </c>
      <c r="H67" s="15"/>
      <c r="I67" s="15">
        <f>SUM(B42:H42)</f>
        <v>602.96</v>
      </c>
      <c r="K67">
        <f>SUMIF('UFCA - CR'!C209:C330,A42,'UFCA - CR'!J209:J330)</f>
        <v>602.96</v>
      </c>
      <c r="L67" s="2">
        <f t="shared" ref="L67" si="10">K67-I67</f>
        <v>0</v>
      </c>
    </row>
    <row r="68" spans="1:13">
      <c r="A68" s="461" t="s">
        <v>1976</v>
      </c>
      <c r="B68" s="462"/>
      <c r="C68" s="462">
        <f>SUM('UFCA - CR'!I230:I311)-F68-G68-H68</f>
        <v>1260.3199999999997</v>
      </c>
      <c r="D68" s="462"/>
      <c r="E68" s="463"/>
      <c r="F68" s="463">
        <f>SUMIF('UFCA - CR'!C230:C311,Criterios!E4,'UFCA - CR'!I230:I311)</f>
        <v>0</v>
      </c>
      <c r="G68" s="462">
        <f>SUMIF('UFCA - CR'!F230:F314,Criterios!F4,'UFCA - CR'!J230:J314)</f>
        <v>158.63</v>
      </c>
      <c r="H68" s="462">
        <f>SUMIF('UFCA - CR'!F230:F314,Criterios!G4,'UFCA - CR'!J230:J314)</f>
        <v>386.24999999999994</v>
      </c>
      <c r="I68" s="462">
        <f>TRUNC(SUM(B68:H68),2)</f>
        <v>1805.2</v>
      </c>
      <c r="K68">
        <f>SUMIF('UFCA - CR'!C230:C314,A68,'UFCA - CR'!J230:J314)</f>
        <v>1805.1999999999996</v>
      </c>
      <c r="L68" s="2">
        <f t="shared" ref="L68:L70" si="11">K68-I68</f>
        <v>0</v>
      </c>
      <c r="M68" s="307"/>
    </row>
    <row r="69" spans="1:13">
      <c r="A69" s="461" t="s">
        <v>1989</v>
      </c>
      <c r="B69" s="462"/>
      <c r="C69" s="462">
        <f>'UFCA - CR'!I312</f>
        <v>123.58</v>
      </c>
      <c r="D69" s="462"/>
      <c r="E69" s="462"/>
      <c r="F69" s="462"/>
      <c r="G69" s="462">
        <f>'UFCA - CR'!I313</f>
        <v>5.55</v>
      </c>
      <c r="H69" s="462"/>
      <c r="I69" s="462">
        <f t="shared" ref="I69:I70" si="12">TRUNC(SUM(B69:H69),2)</f>
        <v>129.13</v>
      </c>
      <c r="K69">
        <f>SUMIF('UFCA - CR'!C312:C314,A69,'UFCA - CR'!J312:J314)</f>
        <v>129.13</v>
      </c>
      <c r="L69" s="2">
        <f t="shared" si="11"/>
        <v>0</v>
      </c>
      <c r="M69" s="307"/>
    </row>
    <row r="70" spans="1:13">
      <c r="A70" s="461" t="s">
        <v>2349</v>
      </c>
      <c r="B70" s="462"/>
      <c r="C70" s="462">
        <f>'UFCA - CR'!I314</f>
        <v>5.6</v>
      </c>
      <c r="D70" s="462"/>
      <c r="E70" s="462"/>
      <c r="F70" s="462"/>
      <c r="G70" s="462">
        <f>'UFCA - CR'!I315</f>
        <v>1.7</v>
      </c>
      <c r="H70" s="462"/>
      <c r="I70" s="462">
        <f t="shared" si="12"/>
        <v>7.3</v>
      </c>
      <c r="K70">
        <f>SUMIF('UFCA - CR'!C314:C315,A70,'UFCA - CR'!I314:I315)</f>
        <v>7.3</v>
      </c>
      <c r="L70" s="2">
        <f t="shared" si="11"/>
        <v>0</v>
      </c>
    </row>
    <row r="71" spans="1:13">
      <c r="A71" s="430" t="s">
        <v>563</v>
      </c>
      <c r="B71" s="33">
        <f>SUM(B57:B70)</f>
        <v>4390.46</v>
      </c>
      <c r="C71" s="33">
        <f t="shared" ref="C71:H71" si="13">SUM(C57:C70)</f>
        <v>1933.5099999999998</v>
      </c>
      <c r="D71" s="33">
        <f t="shared" si="13"/>
        <v>874.4899999999999</v>
      </c>
      <c r="E71" s="33">
        <f t="shared" si="13"/>
        <v>233.31</v>
      </c>
      <c r="F71" s="33">
        <f t="shared" si="13"/>
        <v>2408.9299999999994</v>
      </c>
      <c r="G71" s="33">
        <f t="shared" si="13"/>
        <v>517.17000000000007</v>
      </c>
      <c r="H71" s="33">
        <f t="shared" si="13"/>
        <v>386.24999999999994</v>
      </c>
      <c r="I71" s="33">
        <f t="shared" ref="I71" si="14">TRUNC(SUM(I68:I70),2)</f>
        <v>1941.63</v>
      </c>
    </row>
    <row r="72" spans="1:13">
      <c r="A72" s="706" t="s">
        <v>2368</v>
      </c>
      <c r="B72" s="714"/>
      <c r="C72" s="714"/>
      <c r="D72" s="714"/>
      <c r="E72" s="714"/>
    </row>
    <row r="73" spans="1:13">
      <c r="A73" s="706" t="s">
        <v>600</v>
      </c>
      <c r="B73" s="431" t="s">
        <v>601</v>
      </c>
      <c r="C73" s="431" t="s">
        <v>615</v>
      </c>
      <c r="D73" s="431" t="s">
        <v>619</v>
      </c>
      <c r="E73" s="431" t="s">
        <v>602</v>
      </c>
    </row>
    <row r="74" spans="1:13">
      <c r="A74" s="706"/>
      <c r="B74" s="15">
        <f>SUMIF('UFCA - CR'!F197:F227,Criterios!I4,'UFCA - CR'!J197:J227)
+SUMIF('UFCA - CR'!F226:F227,Criterios!I9,'UFCA - CR'!J226:J227)</f>
        <v>3886.8399999999997</v>
      </c>
      <c r="C74" s="15">
        <f>SUMIF('UFCA - CR'!F197:F227,Criterios!I5,'UFCA - CR'!J197:J227)</f>
        <v>3395.1400000000003</v>
      </c>
      <c r="D74" s="15">
        <f>SUMIF('UFCA - CR'!F197:F227,Criterios!I7,'UFCA - CR'!J197:J227)</f>
        <v>7488.26</v>
      </c>
      <c r="E74" s="15">
        <f>SUMIF('UFCA - CR'!F197:F227,Criterios!I6,'UFCA - CR'!J197:J227)</f>
        <v>2459.0299999999997</v>
      </c>
      <c r="J74" s="2"/>
      <c r="L74" s="2"/>
    </row>
    <row r="76" spans="1:13" ht="25.5">
      <c r="A76" s="431"/>
      <c r="B76" s="428" t="s">
        <v>1998</v>
      </c>
      <c r="C76" s="428" t="s">
        <v>1999</v>
      </c>
      <c r="D76" s="428" t="s">
        <v>2000</v>
      </c>
      <c r="E76" s="428" t="s">
        <v>2001</v>
      </c>
    </row>
    <row r="77" spans="1:13">
      <c r="A77" s="431" t="s">
        <v>1997</v>
      </c>
      <c r="B77" s="18">
        <f>'UFCA - Terrenos'!D6</f>
        <v>161040.85999999999</v>
      </c>
      <c r="C77" s="18">
        <f>TRUNC(SUM('UFCA - edificações'!E32:E52),2)</f>
        <v>14559.57</v>
      </c>
      <c r="D77" s="15">
        <f>SUM(B74:E74)</f>
        <v>17229.27</v>
      </c>
      <c r="E77" s="15">
        <f>TRUNC(B77-C77-D77,2)</f>
        <v>129252.02</v>
      </c>
    </row>
  </sheetData>
  <mergeCells count="26">
    <mergeCell ref="A51:I51"/>
    <mergeCell ref="A52:I52"/>
    <mergeCell ref="A53:I53"/>
    <mergeCell ref="A73:A74"/>
    <mergeCell ref="A54:I54"/>
    <mergeCell ref="A55:A56"/>
    <mergeCell ref="B55:G55"/>
    <mergeCell ref="I55:I56"/>
    <mergeCell ref="A72:E72"/>
    <mergeCell ref="A29:I29"/>
    <mergeCell ref="A19:A20"/>
    <mergeCell ref="A18:E18"/>
    <mergeCell ref="A1:I1"/>
    <mergeCell ref="A2:I2"/>
    <mergeCell ref="A4:A5"/>
    <mergeCell ref="B4:G4"/>
    <mergeCell ref="I4:I5"/>
    <mergeCell ref="A3:I3"/>
    <mergeCell ref="A26:I26"/>
    <mergeCell ref="A27:I27"/>
    <mergeCell ref="A28:I28"/>
    <mergeCell ref="A44:E44"/>
    <mergeCell ref="A45:A46"/>
    <mergeCell ref="A30:A31"/>
    <mergeCell ref="B30:G30"/>
    <mergeCell ref="I30:I31"/>
  </mergeCells>
  <conditionalFormatting sqref="A6:I6 A7:H15 I7:I16">
    <cfRule type="expression" dxfId="53" priority="39">
      <formula>MOD(ROW(),2)=0</formula>
    </cfRule>
  </conditionalFormatting>
  <conditionalFormatting sqref="A32:I41">
    <cfRule type="expression" dxfId="52" priority="13">
      <formula>MOD(ROW(),2)=0</formula>
    </cfRule>
  </conditionalFormatting>
  <conditionalFormatting sqref="A57:I67">
    <cfRule type="expression" dxfId="51" priority="7">
      <formula>MOD(ROW(),2)=0</formula>
    </cfRule>
  </conditionalFormatting>
  <conditionalFormatting sqref="L6:L15 L32:L42">
    <cfRule type="cellIs" dxfId="50" priority="43" operator="greaterThan">
      <formula>0</formula>
    </cfRule>
    <cfRule type="cellIs" dxfId="49" priority="44" operator="lessThan">
      <formula>0</formula>
    </cfRule>
    <cfRule type="cellIs" dxfId="48" priority="45" operator="equal">
      <formula>0</formula>
    </cfRule>
  </conditionalFormatting>
  <conditionalFormatting sqref="L20">
    <cfRule type="cellIs" dxfId="47" priority="40" operator="greaterThan">
      <formula>0</formula>
    </cfRule>
    <cfRule type="cellIs" dxfId="46" priority="41" operator="lessThan">
      <formula>0</formula>
    </cfRule>
    <cfRule type="cellIs" dxfId="45" priority="42" operator="equal">
      <formula>0</formula>
    </cfRule>
  </conditionalFormatting>
  <conditionalFormatting sqref="L46">
    <cfRule type="cellIs" dxfId="44" priority="1" operator="greaterThan">
      <formula>0</formula>
    </cfRule>
    <cfRule type="cellIs" dxfId="43" priority="2" operator="lessThan">
      <formula>0</formula>
    </cfRule>
    <cfRule type="cellIs" dxfId="42" priority="3" operator="equal">
      <formula>0</formula>
    </cfRule>
  </conditionalFormatting>
  <conditionalFormatting sqref="L57:L70">
    <cfRule type="cellIs" dxfId="41" priority="10" operator="greaterThan">
      <formula>0</formula>
    </cfRule>
    <cfRule type="cellIs" dxfId="40" priority="11" operator="lessThan">
      <formula>0</formula>
    </cfRule>
    <cfRule type="cellIs" dxfId="39" priority="12" operator="equal">
      <formula>0</formula>
    </cfRule>
  </conditionalFormatting>
  <conditionalFormatting sqref="L74">
    <cfRule type="cellIs" dxfId="38" priority="15" operator="greaterThan">
      <formula>0</formula>
    </cfRule>
    <cfRule type="cellIs" dxfId="37" priority="16" operator="lessThan">
      <formula>0</formula>
    </cfRule>
    <cfRule type="cellIs" dxfId="36" priority="17" operator="equal">
      <formula>0</formula>
    </cfRule>
  </conditionalFormatting>
  <conditionalFormatting sqref="M45:M46">
    <cfRule type="cellIs" dxfId="35" priority="4" operator="greaterThan">
      <formula>0</formula>
    </cfRule>
    <cfRule type="cellIs" dxfId="34" priority="5" operator="lessThan">
      <formula>0</formula>
    </cfRule>
    <cfRule type="cellIs" dxfId="33" priority="6" operator="equal">
      <formula>0</formula>
    </cfRule>
  </conditionalFormatting>
  <pageMargins left="0.98425196850393704" right="0.51181102362204722" top="0.59055118110236227" bottom="0.59055118110236227" header="0.31496062992125984" footer="0.31496062992125984"/>
  <pageSetup paperSize="9" scale="97" fitToHeight="0" orientation="landscape" r:id="rId1"/>
  <headerFooter>
    <oddHeader>&amp;C&amp;F&amp;R&amp;A</oddHeader>
    <oddFooter>&amp;LÚLTIMA ATUALIZAÇÃO: 30/05/2025&amp;CUFCA/DINFRA - Pág &amp;P/&amp;N&amp;RSUPERVISÃO DO LEVANTAMENTO: Arq. LOUISE BARBOSA</oddFooter>
  </headerFooter>
  <rowBreaks count="2" manualBreakCount="2">
    <brk id="24" max="8" man="1"/>
    <brk id="50"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E83C5-6797-473C-BB8D-7B51CD54E7B2}">
  <sheetPr>
    <pageSetUpPr fitToPage="1"/>
  </sheetPr>
  <dimension ref="A1:P112"/>
  <sheetViews>
    <sheetView view="pageBreakPreview" zoomScale="85" zoomScaleNormal="90" zoomScaleSheetLayoutView="85" workbookViewId="0">
      <selection activeCell="Q50" sqref="Q50"/>
    </sheetView>
  </sheetViews>
  <sheetFormatPr defaultRowHeight="15"/>
  <cols>
    <col min="1" max="1" width="26.5703125" customWidth="1"/>
    <col min="2" max="2" width="26" style="3" bestFit="1" customWidth="1"/>
    <col min="3" max="3" width="21.140625" style="3" bestFit="1" customWidth="1"/>
    <col min="4" max="4" width="16.85546875" style="3" customWidth="1"/>
    <col min="5" max="5" width="12.5703125" style="3" bestFit="1" customWidth="1"/>
    <col min="6" max="6" width="24.28515625" style="3" bestFit="1" customWidth="1"/>
    <col min="7" max="7" width="8.85546875" style="3" bestFit="1" customWidth="1"/>
    <col min="8" max="8" width="13.42578125" style="3" customWidth="1"/>
    <col min="9" max="9" width="4.5703125" customWidth="1"/>
    <col min="15" max="15" width="3.5703125" customWidth="1"/>
    <col min="16" max="16" width="41.140625" customWidth="1"/>
    <col min="17" max="17" width="20.85546875" customWidth="1"/>
    <col min="18" max="18" width="18.5703125" customWidth="1"/>
    <col min="19" max="19" width="17" customWidth="1"/>
    <col min="20" max="20" width="12.28515625" customWidth="1"/>
    <col min="21" max="21" width="24.5703125" customWidth="1"/>
    <col min="23" max="23" width="10" customWidth="1"/>
  </cols>
  <sheetData>
    <row r="1" spans="1:16">
      <c r="A1" s="664" t="s">
        <v>837</v>
      </c>
      <c r="B1" s="665"/>
      <c r="C1" s="665"/>
      <c r="D1" s="665"/>
      <c r="E1" s="666"/>
      <c r="F1" s="667"/>
      <c r="G1" s="667"/>
      <c r="H1" s="667"/>
      <c r="K1" t="s">
        <v>1908</v>
      </c>
    </row>
    <row r="2" spans="1:16">
      <c r="A2" s="669" t="s">
        <v>618</v>
      </c>
      <c r="B2" s="668"/>
      <c r="C2" s="668"/>
      <c r="D2" s="668"/>
      <c r="E2" s="670"/>
      <c r="F2" s="667"/>
      <c r="G2" s="667"/>
      <c r="H2" s="667"/>
    </row>
    <row r="3" spans="1:16">
      <c r="A3" s="718" t="s">
        <v>1904</v>
      </c>
      <c r="B3" s="719"/>
      <c r="C3" s="719"/>
      <c r="D3" s="719"/>
      <c r="E3" s="720"/>
      <c r="F3" s="719"/>
      <c r="G3" s="719"/>
      <c r="H3" s="719"/>
      <c r="P3" t="s">
        <v>1913</v>
      </c>
    </row>
    <row r="4" spans="1:16">
      <c r="A4" s="672" t="s">
        <v>70</v>
      </c>
      <c r="B4" s="672" t="s">
        <v>285</v>
      </c>
      <c r="C4" s="672"/>
      <c r="D4" s="672"/>
      <c r="E4" s="672"/>
      <c r="F4" s="672"/>
      <c r="G4" s="672"/>
      <c r="H4" s="628" t="s">
        <v>550</v>
      </c>
    </row>
    <row r="5" spans="1:16" ht="55.5" customHeight="1">
      <c r="A5" s="672"/>
      <c r="B5" s="31" t="s">
        <v>551</v>
      </c>
      <c r="C5" s="31" t="s">
        <v>833</v>
      </c>
      <c r="D5" s="31" t="s">
        <v>1920</v>
      </c>
      <c r="E5" s="31" t="s">
        <v>553</v>
      </c>
      <c r="F5" s="31" t="s">
        <v>1905</v>
      </c>
      <c r="G5" s="31" t="s">
        <v>555</v>
      </c>
      <c r="H5" s="628"/>
    </row>
    <row r="6" spans="1:16">
      <c r="A6" s="26" t="s">
        <v>365</v>
      </c>
      <c r="B6" s="36">
        <f>SUMIFS('UFCA - JN'!M4:M58,'UFCA - JN'!I4:I58,Criterios!A4,
'UFCA - JN'!P4:P58,Criterios!A19)
+SUMIFS('UFCA - JN'!M4:M58,'UFCA - JN'!I4:I58,Criterios!A5,
'UFCA - JN'!P4:P58,Criterios!A19)
+SUMIFS('UFCA - JN'!M4:M58,'UFCA - JN'!I4:I58,Criterios!A6,
'UFCA - JN'!P4:P58,Criterios!A19)
+SUMIFS('UFCA - JN'!M4:M58,'UFCA - JN'!I4:I58,Criterios!A7,
'UFCA - JN'!P4:P58,Criterios!A19)
+SUMIFS('UFCA - JN'!M4:M58,'UFCA - JN'!I4:I58,Criterios!A8,
'UFCA - JN'!P4:P58,Criterios!A19)
+SUMIFS('UFCA - JN'!M4:M58,'UFCA - JN'!I4:I58,Criterios!A9,
'UFCA - JN'!P4:P58,Criterios!A19)
+SUMIFS('UFCA - JN'!M4:M58,'UFCA - JN'!I4:I58,Criterios!A10,
'UFCA - JN'!P4:P58,Criterios!A19)
+SUMIFS('UFCA - JN'!M4:M58,'UFCA - JN'!I4:I58,Criterios!A12,
'UFCA - JN'!P4:P58,Criterios!A19)
+SUMIFS('UFCA - JN'!M4:M58,'UFCA - JN'!I4:I58,Criterios!A13,
'UFCA - JN'!P4:P58,Criterios!A19)
+SUMIFS('UFCA - JN'!M4:M58,'UFCA - JN'!I4:I58,Criterios!A14,
'UFCA - JN'!P4:P58,Criterios!A19)</f>
        <v>842.55</v>
      </c>
      <c r="C6" s="36">
        <f>SUMIFS('UFCA - JN'!M4:M58,'UFCA - JN'!I4:I58,Criterios!B4,
'UFCA - JN'!P4:P58,Criterios!B19)
+SUMIFS('UFCA - JN'!M4:M58,'UFCA - JN'!I4:I58,Criterios!B5,
'UFCA - JN'!P4:P58,Criterios!B19)
+SUMIFS('UFCA - JN'!M4:M58,'UFCA - JN'!I4:I58,Criterios!B8,
'UFCA - JN'!P4:P58,Criterios!B19)
+SUMIFS('UFCA - JN'!M4:M58,'UFCA - JN'!I4:I58,Criterios!A4,
'UFCA - JN'!P4:P58,Criterios!B19)
+SUMIFS('UFCA - JN'!M4:M58,'UFCA - JN'!I4:I58,Criterios!A5,
'UFCA - JN'!P4:P58,Criterios!B19)
+SUMIFS('UFCA - JN'!M4:M58,'UFCA - JN'!I4:I58,Criterios!A6,
'UFCA - JN'!P4:P58,Criterios!B19)
+SUMIFS('UFCA - JN'!M4:M58,'UFCA - JN'!I4:I58,Criterios!A8,
'UFCA - JN'!P4:P58,Criterios!B19)
+SUMIFS('UFCA - JN'!M4:M58,'UFCA - JN'!I4:I58,Criterios!A12,
'UFCA - JN'!P4:P58,Criterios!B19)
+SUMIFS('UFCA - JN'!M4:M58,'UFCA - JN'!I4:I58,Criterios!A13,
'UFCA - JN'!P4:P58,Criterios!B19)
+SUMIFS('UFCA - JN'!M4:M58,'UFCA - JN'!I4:I58,Criterios!A14,
'UFCA - JN'!P4:P58,Criterios!B19)</f>
        <v>24.689999999999998</v>
      </c>
      <c r="D6" s="15">
        <f>SUMIF('UFCA - JN'!I4:I58,Criterios!C4,'UFCA - JN'!M4:M58)</f>
        <v>0</v>
      </c>
      <c r="E6" s="15" t="s">
        <v>100</v>
      </c>
      <c r="F6" s="36">
        <f>SUMIF('UFCA - JN'!I4:I58,Criterios!E4,'UFCA - JN'!M4:M58)
+SUMIF('UFCA - JN'!I4:I58,Criterios!E5,'UFCA - JN'!M4:M58)
+SUMIF('UFCA - JN'!I4:I58,Criterios!E6,'UFCA - JN'!M4:M58)
+SUMIF('UFCA - JN'!I4:I58,Criterios!E7,'UFCA - JN'!M4:M58)
+SUMIF('UFCA - JN'!I4:I58,Criterios!E8,'UFCA - JN'!M4:M58)
+SUMIF('UFCA - JN'!I4:I58,Criterios!E9,'UFCA - JN'!M4:M58)</f>
        <v>294.88</v>
      </c>
      <c r="G6" s="15">
        <f>SUMIF('UFCA - JN'!I4:I58,Criterios!F4,'UFCA - JN'!M4:M58)</f>
        <v>132.80000000000004</v>
      </c>
      <c r="H6" s="28">
        <f t="shared" ref="H6:H24" si="0">SUM(B6:G6)</f>
        <v>1294.9199999999998</v>
      </c>
      <c r="K6">
        <f>SUM('UFCA - JN'!M4:M58)</f>
        <v>1294.9200000000008</v>
      </c>
      <c r="L6" s="2">
        <f t="shared" ref="L6:L24" si="1">K6-H6</f>
        <v>0</v>
      </c>
      <c r="M6">
        <f>SUMIF('UFCA - JN'!$F$4:$F$825,'TOTAL - JN'!A6,'UFCA - JN'!$M$4:$M$825)</f>
        <v>1294.9200000000008</v>
      </c>
    </row>
    <row r="7" spans="1:16">
      <c r="A7" s="116" t="s">
        <v>251</v>
      </c>
      <c r="B7" s="36">
        <f>SUMIFS('UFCA - JN'!M59:M78,'UFCA - JN'!I59:I78,Criterios!A4,
'UFCA - JN'!P59:P78,Criterios!A19)
+SUMIFS('UFCA - JN'!M59:M78,'UFCA - JN'!I59:I78,Criterios!A5,
'UFCA - JN'!P59:P78,Criterios!A19)
+SUMIFS('UFCA - JN'!M59:M78,'UFCA - JN'!I59:I78,Criterios!A6,
'UFCA - JN'!P59:P78,Criterios!A19)
+SUMIFS('UFCA - JN'!M59:M78,'UFCA - JN'!I59:I78,Criterios!A7,
'UFCA - JN'!P59:P78,Criterios!A19)
+SUMIFS('UFCA - JN'!M59:M78,'UFCA - JN'!I59:I78,Criterios!A8,
'UFCA - JN'!P59:P78,Criterios!A19)
+SUMIFS('UFCA - JN'!M59:M78,'UFCA - JN'!I59:I78,Criterios!A9,
'UFCA - JN'!P59:P78,Criterios!A19)
+SUMIFS('UFCA - JN'!M59:M78,'UFCA - JN'!I59:I78,Criterios!A10,
'UFCA - JN'!P59:P78,Criterios!A19)
+SUMIFS('UFCA - JN'!M59:M78,'UFCA - JN'!I59:I78,Criterios!A11,
'UFCA - JN'!P59:P78,Criterios!A19)
+SUMIFS('UFCA - JN'!M59:M78,'UFCA - JN'!I59:I78,Criterios!A12,
'UFCA - JN'!P59:P78,Criterios!A19)
+SUMIFS('UFCA - JN'!M59:M78,'UFCA - JN'!I59:I78,Criterios!A13,
'UFCA - JN'!P59:P78,Criterios!A19)
+SUMIFS('UFCA - JN'!M59:M78,'UFCA - JN'!I59:I78,Criterios!A14,
'UFCA - JN'!P59:P78,Criterios!A19)</f>
        <v>168.75999999999996</v>
      </c>
      <c r="C7" s="36">
        <f>SUMIFS('UFCA - JN'!M59:M78,'UFCA - JN'!I59:I78,Criterios!B4,
'UFCA - JN'!P59:P78,Criterios!B19)
+SUMIFS('UFCA - JN'!M59:M78,'UFCA - JN'!I59:I78,Criterios!B5,
'UFCA - JN'!P59:P78,Criterios!B19)
+SUMIFS('UFCA - JN'!M59:M78,'UFCA - JN'!I59:I78,Criterios!B6,
'UFCA - JN'!P59:P78,Criterios!B19)
+SUMIFS('UFCA - JN'!M59:M78,'UFCA - JN'!I59:I78,Criterios!B7,
'UFCA - JN'!P59:P78,Criterios!B19)
+SUMIFS('UFCA - JN'!M59:M78,'UFCA - JN'!I59:I78,Criterios!B8,
'UFCA - JN'!P59:P78,Criterios!B19)</f>
        <v>8.5</v>
      </c>
      <c r="D7" s="15">
        <f>SUMIF('UFCA - JN'!I59:I78,Criterios!C4,'UFCA - JN'!M59:M78)</f>
        <v>255.77</v>
      </c>
      <c r="E7" s="15" t="s">
        <v>100</v>
      </c>
      <c r="F7" s="36">
        <f>SUMIF('UFCA - JN'!I59:I78,Criterios!E4,'UFCA - JN'!M59:M78)
+SUMIF('UFCA - JN'!I59:I78,Criterios!E5,'UFCA - JN'!M59:M78)
+SUMIF('UFCA - JN'!I59:I78,Criterios!E6,'UFCA - JN'!M59:M78)
+SUMIF('UFCA - JN'!I59:I78,Criterios!E7,'UFCA - JN'!M59:M78)
+SUMIF('UFCA - JN'!I59:I78,Criterios!E8,'UFCA - JN'!M59:M78)
+SUMIF('UFCA - JN'!I59:I78,Criterios!E9,'UFCA - JN'!M59:M78)</f>
        <v>90.58</v>
      </c>
      <c r="G7" s="15">
        <f>SUMIF('UFCA - JN'!I59:I78,Criterios!F4,'UFCA - JN'!M59:M78)</f>
        <v>5</v>
      </c>
      <c r="H7" s="28">
        <f t="shared" si="0"/>
        <v>528.61</v>
      </c>
      <c r="K7" s="2">
        <f>SUM('UFCA - JN'!M59:M78)</f>
        <v>528.61000000000013</v>
      </c>
      <c r="L7" s="2">
        <f t="shared" si="1"/>
        <v>0</v>
      </c>
      <c r="M7">
        <f>SUMIF('UFCA - JN'!$F$4:$F$825,'TOTAL - JN'!A7,'UFCA - JN'!$M$4:$M$825)</f>
        <v>528.61000000000013</v>
      </c>
    </row>
    <row r="8" spans="1:16">
      <c r="A8" s="26" t="s">
        <v>372</v>
      </c>
      <c r="B8" s="36">
        <f>SUMIFS('UFCA - JN'!M79:M124,'UFCA - JN'!I79:I124,Criterios!A4,
'UFCA - JN'!P79:P124,Criterios!A19)
+SUMIFS('UFCA - JN'!M79:M124,'UFCA - JN'!I79:I124,Criterios!A5,
'UFCA - JN'!P79:P124,Criterios!A19)
+SUMIFS('UFCA - JN'!M79:M124,'UFCA - JN'!I79:I124,Criterios!A6,
'UFCA - JN'!P79:P124,Criterios!A19)
+SUMIFS('UFCA - JN'!M79:M124,'UFCA - JN'!I79:I124,Criterios!A7,
'UFCA - JN'!P79:P124,Criterios!A19)
+SUMIFS('UFCA - JN'!M79:M124,'UFCA - JN'!I79:I124,Criterios!A8,
'UFCA - JN'!P79:P124,Criterios!A19)
+SUMIFS('UFCA - JN'!M79:M124,'UFCA - JN'!I79:I124,Criterios!A9,
'UFCA - JN'!P79:P124,Criterios!A19)
+SUMIFS('UFCA - JN'!M79:M124,'UFCA - JN'!I79:I124,Criterios!A10,
'UFCA - JN'!P79:P124,Criterios!A19)
+SUMIFS('UFCA - JN'!M79:M124,'UFCA - JN'!I79:I124,Criterios!A11,
'UFCA - JN'!P79:P124,Criterios!A19)
+SUMIFS('UFCA - JN'!M79:M124,'UFCA - JN'!I79:I124,Criterios!A12,
'UFCA - JN'!P79:P124,Criterios!A19)
+SUMIFS('UFCA - JN'!M79:M124,'UFCA - JN'!I79:I124,Criterios!A13,
'UFCA - JN'!P79:P124,Criterios!A19)
+SUMIFS('UFCA - JN'!M79:M124,'UFCA - JN'!I79:I124,Criterios!A14,
'UFCA - JN'!P79:P124,Criterios!A19)</f>
        <v>842.09999999999991</v>
      </c>
      <c r="C8" s="36">
        <f>SUMIFS('UFCA - JN'!M79:M124,'UFCA - JN'!I79:I124,Criterios!B4,
'UFCA - JN'!P79:P124,Criterios!B19)
+SUMIFS('UFCA - JN'!M79:M124,'UFCA - JN'!I79:I124,Criterios!B5,
'UFCA - JN'!P79:P124,Criterios!B19)
+SUMIFS('UFCA - JN'!M79:M124,'UFCA - JN'!I79:I124,Criterios!B8,
'UFCA - JN'!P79:P124,Criterios!B19)
+SUMIFS('UFCA - JN'!M79:M124,'UFCA - JN'!I79:I124,Criterios!A4,
'UFCA - JN'!P79:P124,Criterios!B19)
+SUMIFS('UFCA - JN'!M79:M124,'UFCA - JN'!I79:I124,Criterios!A5,
'UFCA - JN'!P79:P124,Criterios!B19)
+SUMIFS('UFCA - JN'!M79:M124,'UFCA - JN'!I79:I124,Criterios!A6,
'UFCA - JN'!P79:P124,Criterios!B19)
+SUMIFS('UFCA - JN'!M79:M124,'UFCA - JN'!I79:I124,Criterios!A8,
'UFCA - JN'!P79:P124,Criterios!B19)
+SUMIFS('UFCA - JN'!M79:M124,'UFCA - JN'!I79:I124,Criterios!A11,
'UFCA - JN'!P79:P124,Criterios!B19)
+SUMIFS('UFCA - JN'!M79:M124,'UFCA - JN'!I79:I124,Criterios!A12,
'UFCA - JN'!P79:P124,Criterios!B19)
+SUMIFS('UFCA - JN'!M79:M124,'UFCA - JN'!I79:I124,Criterios!A13,
'UFCA - JN'!P79:P124,Criterios!B19)
+SUMIFS('UFCA - JN'!M79:M124,'UFCA - JN'!I79:I124,Criterios!A14,
'UFCA - JN'!P79:P124,Criterios!B19)</f>
        <v>35.14</v>
      </c>
      <c r="D8" s="15">
        <f>SUMIF('UFCA - JN'!I79:I124,Criterios!C4,'UFCA - JN'!M79:M124)</f>
        <v>0</v>
      </c>
      <c r="E8" s="15" t="s">
        <v>100</v>
      </c>
      <c r="F8" s="36">
        <f>SUMIF('UFCA - JN'!I79:I124,Criterios!E4,'UFCA - JN'!M79:M124)
+SUMIF('UFCA - JN'!I79:I124,Criterios!E5,'UFCA - JN'!M79:M124)
+SUMIF('UFCA - JN'!I79:I124,Criterios!E6,'UFCA - JN'!M79:M124)
+SUMIF('UFCA - JN'!I79:I124,Criterios!E7,'UFCA - JN'!M79:M124)
+SUMIF('UFCA - JN'!I79:I124,Criterios!E8,'UFCA - JN'!M79:M124)
+SUMIF('UFCA - JN'!I79:I124,Criterios!E9,'UFCA - JN'!M79:M124)</f>
        <v>295.41000000000003</v>
      </c>
      <c r="G8" s="15">
        <f>SUMIF('UFCA - JN'!I79:I124,Criterios!F4,'UFCA - JN'!M79:M124)</f>
        <v>132.80000000000004</v>
      </c>
      <c r="H8" s="28">
        <f t="shared" si="0"/>
        <v>1305.4499999999998</v>
      </c>
      <c r="K8">
        <f>SUM('UFCA - JN'!M79:M124)</f>
        <v>1305.45</v>
      </c>
      <c r="L8" s="2">
        <f t="shared" si="1"/>
        <v>0</v>
      </c>
      <c r="M8">
        <f>SUMIF('UFCA - JN'!$F$4:$F$825,'TOTAL - JN'!A8,'UFCA - JN'!$M$4:$M$825)</f>
        <v>1305.45</v>
      </c>
    </row>
    <row r="9" spans="1:16">
      <c r="A9" s="116" t="s">
        <v>255</v>
      </c>
      <c r="B9" s="36">
        <f>SUMIFS('UFCA - JN'!M125:M145,'UFCA - JN'!I125:I145,Criterios!A4,
'UFCA - JN'!P125:P145,Criterios!A19)
+SUMIFS('UFCA - JN'!M125:M145,'UFCA - JN'!I125:I145,Criterios!A5,
'UFCA - JN'!P125:P145,Criterios!A19)
+SUMIFS('UFCA - JN'!M125:M145,'UFCA - JN'!I125:I145,Criterios!A6,
'UFCA - JN'!P125:P145,Criterios!A19)
+SUMIFS('UFCA - JN'!M125:M145,'UFCA - JN'!I125:I145,Criterios!A7,
'UFCA - JN'!P125:P145,Criterios!A19)
+SUMIFS('UFCA - JN'!M125:M145,'UFCA - JN'!I125:I145,Criterios!A8,
'UFCA - JN'!P125:P145,Criterios!A19)
+SUMIFS('UFCA - JN'!M125:M145,'UFCA - JN'!I125:I145,Criterios!A9,
'UFCA - JN'!P125:P145,Criterios!A19)
+SUMIFS('UFCA - JN'!M125:M145,'UFCA - JN'!I125:I145,Criterios!A10,
'UFCA - JN'!P125:P145,Criterios!A19)
+SUMIFS('UFCA - JN'!M125:M145,'UFCA - JN'!I125:I145,Criterios!A11,
'UFCA - JN'!P125:P145,Criterios!A19)
+SUMIFS('UFCA - JN'!M125:M145,'UFCA - JN'!I125:I145,Criterios!A12,
'UFCA - JN'!P125:P145,Criterios!A19)
+SUMIFS('UFCA - JN'!M125:M145,'UFCA - JN'!I125:I145,Criterios!A13,
'UFCA - JN'!P125:P145,Criterios!A19)
+SUMIFS('UFCA - JN'!M125:M145,'UFCA - JN'!I125:I145,Criterios!A14,
'UFCA - JN'!P125:P145,Criterios!A19)</f>
        <v>137.28</v>
      </c>
      <c r="C9" s="36">
        <f>SUMIFS('UFCA - JN'!M125:M145,'UFCA - JN'!I125:I145,Criterios!B4,
'UFCA - JN'!P125:P145,Criterios!B19)
+SUMIFS('UFCA - JN'!M125:M145,'UFCA - JN'!I125:I145,Criterios!B5,
'UFCA - JN'!P125:P145,Criterios!B19)
+SUMIFS('UFCA - JN'!M125:M145,'UFCA - JN'!I125:I145,Criterios!B8,
'UFCA - JN'!P125:P145,Criterios!B19)
+SUMIFS('UFCA - JN'!M125:M145,'UFCA - JN'!I125:I145,Criterios!A4,
'UFCA - JN'!P125:P145,Criterios!B19)
+SUMIFS('UFCA - JN'!M125:M145,'UFCA - JN'!I125:I145,Criterios!A5,
'UFCA - JN'!P125:P145,Criterios!B19)
+SUMIFS('UFCA - JN'!M125:M145,'UFCA - JN'!I125:I145,Criterios!A6,
'UFCA - JN'!P125:P145,Criterios!B19)
+SUMIFS('UFCA - JN'!M125:M145,'UFCA - JN'!I125:I145,Criterios!A8,
'UFCA - JN'!P125:P145,Criterios!B19)
+SUMIFS('UFCA - JN'!M125:M145,'UFCA - JN'!I125:I145,Criterios!A11,
'UFCA - JN'!P125:P145,Criterios!B19)
+SUMIFS('UFCA - JN'!M125:M145,'UFCA - JN'!I125:I145,Criterios!A12,
'UFCA - JN'!P125:P145,Criterios!B19)
+SUMIFS('UFCA - JN'!M125:M145,'UFCA - JN'!I125:I145,Criterios!A13,
'UFCA - JN'!P125:P145,Criterios!B19)
+SUMIFS('UFCA - JN'!M125:M145,'UFCA - JN'!I125:I145,Criterios!A14,
'UFCA - JN'!P125:P145,Criterios!B19)</f>
        <v>35.51</v>
      </c>
      <c r="D9" s="15">
        <f>SUMIF('UFCA - JN'!I125:I145,Criterios!C4,'UFCA - JN'!M125:M145)</f>
        <v>270.39999999999998</v>
      </c>
      <c r="E9" s="15" t="s">
        <v>100</v>
      </c>
      <c r="F9" s="36">
        <f>SUMIF('UFCA - JN'!I125:I145,Criterios!E4,'UFCA - JN'!M125:M145)
+SUMIF('UFCA - JN'!I125:I145,Criterios!E5,'UFCA - JN'!M125:M145)
+SUMIF('UFCA - JN'!I125:I145,Criterios!E6,'UFCA - JN'!M125:M145)
+SUMIF('UFCA - JN'!I125:I145,Criterios!E7,'UFCA - JN'!M125:M145)
+SUMIF('UFCA - JN'!I125:I145,Criterios!E8,'UFCA - JN'!M125:M145)
+SUMIF('UFCA - JN'!I125:I145,Criterios!E9,'UFCA - JN'!M125:M145)</f>
        <v>90.06</v>
      </c>
      <c r="G9" s="15">
        <f>SUMIF('UFCA - JN'!I125:I145,Criterios!F4,'UFCA - JN'!M125:M145)</f>
        <v>4.72</v>
      </c>
      <c r="H9" s="28">
        <f t="shared" si="0"/>
        <v>537.97</v>
      </c>
      <c r="K9" s="2">
        <f>SUM('UFCA - JN'!M125:M145)</f>
        <v>537.97</v>
      </c>
      <c r="L9" s="2">
        <f t="shared" si="1"/>
        <v>0</v>
      </c>
      <c r="M9">
        <f>SUMIF('UFCA - JN'!$F$4:$F$825,'TOTAL - JN'!A9,'UFCA - JN'!$M$4:$M$825)</f>
        <v>537.97</v>
      </c>
    </row>
    <row r="10" spans="1:16">
      <c r="A10" s="26" t="s">
        <v>375</v>
      </c>
      <c r="B10" s="36">
        <f>SUMIFS('UFCA - JN'!M146:M183,'UFCA - JN'!I146:I183,Criterios!B7,
'UFCA - JN'!P146:P183,Criterios!A19)
+SUMIFS('UFCA - JN'!M146:M183,'UFCA - JN'!I146:I183,Criterios!A4,
'UFCA - JN'!P146:P183,Criterios!A19)
+SUMIFS('UFCA - JN'!M146:M183,'UFCA - JN'!I146:I183,Criterios!A5,
'UFCA - JN'!P146:P183,Criterios!A19)
+SUMIFS('UFCA - JN'!M146:M183,'UFCA - JN'!I146:I183,Criterios!A6,
'UFCA - JN'!P146:P183,Criterios!A19)
+SUMIFS('UFCA - JN'!M146:M183,'UFCA - JN'!I146:I183,Criterios!A7,
'UFCA - JN'!P146:P183,Criterios!A19)
+SUMIFS('UFCA - JN'!M146:M183,'UFCA - JN'!I146:I183,Criterios!A8,
'UFCA - JN'!P146:P183,Criterios!A19)
+SUMIFS('UFCA - JN'!M146:M183,'UFCA - JN'!I146:I183,Criterios!A9,
'UFCA - JN'!P146:P183,Criterios!A19)
+SUMIFS('UFCA - JN'!M146:M183,'UFCA - JN'!I146:I183,Criterios!A10,
'UFCA - JN'!P146:P183,Criterios!A19)
+SUMIFS('UFCA - JN'!M146:M183,'UFCA - JN'!I146:I183,Criterios!A11,
'UFCA - JN'!P146:P183,Criterios!A19)
+SUMIFS('UFCA - JN'!M146:M183,'UFCA - JN'!I146:I183,Criterios!A12,
'UFCA - JN'!P146:P183,Criterios!A19)
+SUMIFS('UFCA - JN'!M146:M183,'UFCA - JN'!I146:I183,Criterios!A13,
'UFCA - JN'!P146:P183,Criterios!A19)
+SUMIFS('UFCA - JN'!M146:M183,'UFCA - JN'!I146:I183,Criterios!A14,
'UFCA - JN'!P146:P183,Criterios!A19)</f>
        <v>706.73</v>
      </c>
      <c r="C10" s="36">
        <f>SUMIFS('UFCA - JN'!M146:M183,'UFCA - JN'!I146:I183,Criterios!B4,
'UFCA - JN'!P146:P183,Criterios!B19)
+SUMIFS('UFCA - JN'!M146:M183,'UFCA - JN'!I146:I183,Criterios!B5,
'UFCA - JN'!P146:P183,Criterios!B19)
+SUMIFS('UFCA - JN'!M146:M183,'UFCA - JN'!I146:I183,Criterios!B6,
'UFCA - JN'!P146:P183,Criterios!B19)
+SUMIFS('UFCA - JN'!M146:M183,'UFCA - JN'!I146:I183,Criterios!B7,
'UFCA - JN'!P146:P183,Criterios!B19)
+SUMIFS('UFCA - JN'!M146:M183,'UFCA - JN'!I146:I183,Criterios!B8,
'UFCA - JN'!P146:P183,Criterios!B19)
+SUMIFS('UFCA - JN'!M146:M183,'UFCA - JN'!I146:I183,Criterios!A4,
'UFCA - JN'!P146:P183,Criterios!B19)
+SUMIFS('UFCA - JN'!M146:M183,'UFCA - JN'!I146:I183,Criterios!A5,
'UFCA - JN'!P146:P183,Criterios!B19)
+SUMIFS('UFCA - JN'!M146:M183,'UFCA - JN'!I146:I183,Criterios!A6,
'UFCA - JN'!P146:P183,Criterios!B19)
+SUMIFS('UFCA - JN'!M146:M183,'UFCA - JN'!I146:I183,Criterios!A8,
'UFCA - JN'!P146:P183,Criterios!B19)
+SUMIFS('UFCA - JN'!M146:M183,'UFCA - JN'!I146:I183,Criterios!A11,
'UFCA - JN'!P146:P183,Criterios!B19)
+SUMIFS('UFCA - JN'!M146:M183,'UFCA - JN'!I146:I183,Criterios!A12,
'UFCA - JN'!P146:P183,Criterios!B19)
+SUMIFS('UFCA - JN'!M146:M183,'UFCA - JN'!I146:I183,Criterios!A13,
'UFCA - JN'!P146:P183,Criterios!B19)
+SUMIFS('UFCA - JN'!M146:M183,'UFCA - JN'!I146:I183,Criterios!A14,
'UFCA - JN'!P146:P183,Criterios!B19)</f>
        <v>238.36</v>
      </c>
      <c r="D10" s="15">
        <f>SUMIF('UFCA - JN'!I146:I183,Criterios!C4,'UFCA - JN'!M146:M183)</f>
        <v>0</v>
      </c>
      <c r="E10" s="15" t="s">
        <v>100</v>
      </c>
      <c r="F10" s="36">
        <f>SUMIF('UFCA - JN'!I146:I183,Criterios!E4,'UFCA - JN'!M146:M183)
+SUMIF('UFCA - JN'!I146:I183,Criterios!E5,'UFCA - JN'!M146:M183)
+SUMIF('UFCA - JN'!I146:I183,Criterios!E6,'UFCA - JN'!M146:M183)
+SUMIF('UFCA - JN'!I146:I183,Criterios!E7,'UFCA - JN'!M146:M183)
+SUMIF('UFCA - JN'!I146:I183,Criterios!E8,'UFCA - JN'!M146:M183)
+SUMIF('UFCA - JN'!I146:I183,Criterios!E9,'UFCA - JN'!M146:M183)</f>
        <v>294.09999999999997</v>
      </c>
      <c r="G10" s="15">
        <f>SUMIF('UFCA - JN'!I146:I183,Criterios!F4,'UFCA - JN'!M146:M183)</f>
        <v>62.74</v>
      </c>
      <c r="H10" s="28">
        <f t="shared" si="0"/>
        <v>1301.93</v>
      </c>
      <c r="K10">
        <f>SUM('UFCA - JN'!M146:M183)</f>
        <v>1301.9299999999996</v>
      </c>
      <c r="L10" s="2">
        <f t="shared" si="1"/>
        <v>0</v>
      </c>
      <c r="M10">
        <f>SUMIF('UFCA - JN'!$F$4:$F$825,'TOTAL - JN'!A10,'UFCA - JN'!$M$4:$M$825)</f>
        <v>1301.9299999999996</v>
      </c>
    </row>
    <row r="11" spans="1:16">
      <c r="A11" s="116" t="s">
        <v>260</v>
      </c>
      <c r="B11" s="36">
        <f>SUMIFS('UFCA - JN'!M184:M207,'UFCA - JN'!I184:I207,Criterios!A4,
'UFCA - JN'!P184:P207,Criterios!A19)
+SUMIFS('UFCA - JN'!M184:M207,'UFCA - JN'!I184:I207,Criterios!A5,
'UFCA - JN'!P184:P207,Criterios!A19)
+SUMIFS('UFCA - JN'!M184:M207,'UFCA - JN'!I184:I207,Criterios!A6,
'UFCA - JN'!P184:P207,Criterios!A19)
+SUMIFS('UFCA - JN'!M184:M207,'UFCA - JN'!I184:I207,Criterios!A7,
'UFCA - JN'!P184:P207,Criterios!A19)
+SUMIFS('UFCA - JN'!M184:M207,'UFCA - JN'!I184:I207,Criterios!A8,
'UFCA - JN'!P184:P207,Criterios!A19)
+SUMIFS('UFCA - JN'!M184:M207,'UFCA - JN'!I184:I207,Criterios!A9,
'UFCA - JN'!P184:P207,Criterios!A19)
+SUMIF('UFCA - JN'!I184:I207,Criterios!A12,'UFCA - JN'!M184:M207)
+SUMIF('UFCA - JN'!I184:I207,Criterios!A13,'UFCA - JN'!M184:M207)</f>
        <v>226.13</v>
      </c>
      <c r="C11" s="36">
        <f>SUMIFS('UFCA - JN'!M184:M207,'UFCA - JN'!I184:I207,Criterios!B4,
'UFCA - JN'!P184:P207,Criterios!B19)
+SUMIFS('UFCA - JN'!M184:M207,'UFCA - JN'!I184:I207,Criterios!B5,
'UFCA - JN'!P184:P207,Criterios!B19)
+SUMIFS('UFCA - JN'!M184:M207,'UFCA - JN'!I184:I207,Criterios!B6,
'UFCA - JN'!P184:P207,Criterios!B19)
+SUMIFS('UFCA - JN'!M184:M207,'UFCA - JN'!I184:I207,Criterios!B7,
'UFCA - JN'!P184:P207,Criterios!B19)</f>
        <v>0</v>
      </c>
      <c r="D11" s="15">
        <f>SUMIF('UFCA - JN'!I184:I207,Criterios!C4,'UFCA - JN'!M184:M207)</f>
        <v>417.44</v>
      </c>
      <c r="E11" s="15">
        <f>SUMIF('UFCA - JN'!I184:I207,Criterios!D4,'UFCA - JN'!M184:M207)</f>
        <v>0</v>
      </c>
      <c r="F11" s="36">
        <f>SUMIF('UFCA - JN'!I184:I207,Criterios!E4,'UFCA - JN'!M184:M207)
+SUMIF('UFCA - JN'!I184:I207,Criterios!E5,'UFCA - JN'!M184:M207)
+SUMIF('UFCA - JN'!I184:I207,Criterios!E6,'UFCA - JN'!M184:M207)
+SUMIF('UFCA - JN'!I184:I207,Criterios!E7,'UFCA - JN'!M184:M207)
+SUMIF('UFCA - JN'!I184:I207,Criterios!E8,'UFCA - JN'!M184:M207)
+SUMIF('UFCA - JN'!I184:I207,Criterios!E9,'UFCA - JN'!M184:M207)</f>
        <v>114.56</v>
      </c>
      <c r="G11" s="15">
        <f>SUMIF('UFCA - JN'!I184:I207,Criterios!F4,'UFCA - JN'!M184:M207)</f>
        <v>26</v>
      </c>
      <c r="H11" s="28">
        <f t="shared" si="0"/>
        <v>784.12999999999988</v>
      </c>
      <c r="K11" s="2">
        <f>SUM('UFCA - JN'!M184:M207)</f>
        <v>784.13000000000011</v>
      </c>
      <c r="L11" s="2">
        <f t="shared" si="1"/>
        <v>0</v>
      </c>
      <c r="M11">
        <f>SUMIF('UFCA - JN'!$F$4:$F$825,'TOTAL - JN'!A11,'UFCA - JN'!$M$4:$M$825)</f>
        <v>784.13000000000011</v>
      </c>
    </row>
    <row r="12" spans="1:16">
      <c r="A12" s="157" t="s">
        <v>376</v>
      </c>
      <c r="B12" s="36">
        <f>SUMIFS('UFCA - JN'!M208:M244,'UFCA - JN'!I208:I244,Criterios!A4,
'UFCA - JN'!P208:P244,Criterios!A19)
+SUMIFS('UFCA - JN'!M208:M244,'UFCA - JN'!I208:I244,Criterios!A5,
'UFCA - JN'!P208:P244,Criterios!A19)
+SUMIFS('UFCA - JN'!M208:M244,'UFCA - JN'!I208:I244,Criterios!A6,
'UFCA - JN'!P208:P244,Criterios!A19)
+SUMIFS('UFCA - JN'!M208:M244,'UFCA - JN'!I208:I244,Criterios!A7,
'UFCA - JN'!P208:P244,Criterios!A19)
+SUMIFS('UFCA - JN'!M208:M244,'UFCA - JN'!I208:I244,Criterios!A8,
'UFCA - JN'!P208:P244,Criterios!A19)
+SUMIFS('UFCA - JN'!M208:M244,'UFCA - JN'!I208:I244,Criterios!A9,
'UFCA - JN'!P208:P244,Criterios!A19)
+SUMIFS('UFCA - JN'!M208:M244,'UFCA - JN'!I208:I244,Criterios!A10,
'UFCA - JN'!P208:P244,Criterios!A19)
+SUMIFS('UFCA - JN'!M208:M244,'UFCA - JN'!I208:I244,Criterios!A11,
'UFCA - JN'!P208:P244,Criterios!A19)
+SUMIFS('UFCA - JN'!M208:M244,'UFCA - JN'!I208:I244,Criterios!A12,
'UFCA - JN'!P208:P244,Criterios!A19)
+SUMIFS('UFCA - JN'!M208:M244,'UFCA - JN'!I208:I244,Criterios!A13,
'UFCA - JN'!P208:P244,Criterios!A19)
+SUMIFS('UFCA - JN'!M208:M244,'UFCA - JN'!I208:I244,Criterios!A14,
'UFCA - JN'!P208:P244,Criterios!A19)
+SUMIFS('UFCA - JN'!M208:M244,'UFCA - JN'!I208:I244,Criterios!A4,
'UFCA - JN'!P208:P244,Criterios!A20)
+SUMIFS('UFCA - JN'!M208:M244,'UFCA - JN'!I208:I244,Criterios!A5,
'UFCA - JN'!P208:P244,Criterios!A20)
+SUMIFS('UFCA - JN'!M208:M244,'UFCA - JN'!I208:I244,Criterios!A6,
'UFCA - JN'!P208:P244,Criterios!A20)
+SUMIFS('UFCA - JN'!M208:M244,'UFCA - JN'!I208:I244,Criterios!A7,
'UFCA - JN'!P208:P244,Criterios!A20)
+SUMIFS('UFCA - JN'!M208:M244,'UFCA - JN'!I208:I244,Criterios!A8,
'UFCA - JN'!P208:P244,Criterios!A20)
+SUMIFS('UFCA - JN'!M208:M244,'UFCA - JN'!I208:I244,Criterios!A9,
'UFCA - JN'!P208:P244,Criterios!A20)
+SUMIFS('UFCA - JN'!M208:M244,'UFCA - JN'!I208:I244,Criterios!A10,
'UFCA - JN'!P208:P244,Criterios!A20)
+SUMIFS('UFCA - JN'!M208:M244,'UFCA - JN'!I208:I244,Criterios!A11,
'UFCA - JN'!P208:P244,Criterios!A20)
+SUMIFS('UFCA - JN'!M208:M244,'UFCA - JN'!I208:I244,Criterios!A12,
'UFCA - JN'!P208:P244,Criterios!A20)
+SUMIFS('UFCA - JN'!M208:M244,'UFCA - JN'!I208:I244,Criterios!A13,
'UFCA - JN'!P208:P244,Criterios!A20)
+SUMIFS('UFCA - JN'!M208:M244,'UFCA - JN'!I208:I244,Criterios!A14,
'UFCA - JN'!P208:P244,Criterios!A20)</f>
        <v>916.73</v>
      </c>
      <c r="C12" s="36">
        <f>SUMIFS('UFCA - JN'!M208:M244,'UFCA - JN'!I208:I244,Criterios!B4,
'UFCA - JN'!P208:P244,Criterios!B19)
+SUMIFS('UFCA - JN'!M208:M244,'UFCA - JN'!I208:I244,Criterios!B5,
'UFCA - JN'!P208:P244,Criterios!B19)
+SUMIFS('UFCA - JN'!M208:M244,'UFCA - JN'!I208:I244,Criterios!B6,
'UFCA - JN'!P208:P244,Criterios!B19)
+SUMIFS('UFCA - JN'!M208:M244,'UFCA - JN'!I208:I244,Criterios!B7,
'UFCA - JN'!P208:P244,Criterios!B19)
+SUMIFS('UFCA - JN'!M208:M244,'UFCA - JN'!I208:I244,Criterios!B8,
'UFCA - JN'!P208:P244,Criterios!B19)
+SUMIFS('UFCA - JN'!M208:M244,'UFCA - JN'!I208:I244,Criterios!A4,
'UFCA - JN'!P208:P244,Criterios!B19)
+SUMIFS('UFCA - JN'!M208:M244,'UFCA - JN'!I208:I244,Criterios!A5,
'UFCA - JN'!P208:P244,Criterios!B19)
+SUMIFS('UFCA - JN'!M208:M244,'UFCA - JN'!I208:I244,Criterios!A6,
'UFCA - JN'!P208:P244,Criterios!B19)
+SUMIFS('UFCA - JN'!M208:M244,'UFCA - JN'!I208:I244,Criterios!A8,
'UFCA - JN'!P208:P244,Criterios!B19)
+SUMIFS('UFCA - JN'!M208:M244,'UFCA - JN'!I208:I244,Criterios!A11,
'UFCA - JN'!P208:P244,Criterios!B19)
+SUMIFS('UFCA - JN'!M208:M244,'UFCA - JN'!I208:I244,Criterios!A12,
'UFCA - JN'!P208:P244,Criterios!B19)
+SUMIFS('UFCA - JN'!M208:M244,'UFCA - JN'!I208:I244,Criterios!A13,
'UFCA - JN'!P208:P244,Criterios!B19)
+SUMIFS('UFCA - JN'!M208:M244,'UFCA - JN'!I208:I244,Criterios!A14,
'UFCA - JN'!P208:P244,Criterios!B19)</f>
        <v>402.06000000000006</v>
      </c>
      <c r="D12" s="15">
        <f>SUMIF('UFCA - JN'!I208:I244,Criterios!C4,'UFCA - JN'!M208:M244)</f>
        <v>0</v>
      </c>
      <c r="E12" s="15" t="s">
        <v>100</v>
      </c>
      <c r="F12" s="36">
        <f>SUMIF('UFCA - JN'!I208:I244,Criterios!E4,'UFCA - JN'!M208:M244)
+SUMIF('UFCA - JN'!I208:I244,Criterios!E5,'UFCA - JN'!M208:M244)
+SUMIF('UFCA - JN'!I208:I244,Criterios!E6,'UFCA - JN'!M208:M244)
+SUMIF('UFCA - JN'!I208:I244,Criterios!E7,'UFCA - JN'!M208:M244)
+SUMIF('UFCA - JN'!I208:I244,Criterios!E8,'UFCA - JN'!M208:M244)
+SUMIF('UFCA - JN'!I208:I244,Criterios!E9,'UFCA - JN'!M208:M244)</f>
        <v>347.92</v>
      </c>
      <c r="G12" s="15">
        <f>SUMIF('UFCA - JN'!I208:I244,Criterios!F4,'UFCA - JN'!M208:M244)</f>
        <v>126.84</v>
      </c>
      <c r="H12" s="28">
        <f t="shared" si="0"/>
        <v>1793.55</v>
      </c>
      <c r="K12">
        <f>SUM('UFCA - JN'!M208:M244)</f>
        <v>1793.55</v>
      </c>
      <c r="L12" s="2">
        <f t="shared" si="1"/>
        <v>0</v>
      </c>
      <c r="M12">
        <f>SUMIF('UFCA - JN'!$F$4:$F$825,'TOTAL - JN'!A12,'UFCA - JN'!$M$4:$M$825)</f>
        <v>1793.55</v>
      </c>
    </row>
    <row r="13" spans="1:16">
      <c r="A13" s="26" t="s">
        <v>335</v>
      </c>
      <c r="B13" s="464">
        <f>SUMIFS('UFCA - JN'!M245:M268,'UFCA - JN'!I245:I268,Criterios!A4,
'UFCA - JN'!P245:P268,Criterios!A19)
+SUMIFS('UFCA - JN'!M245:M268,'UFCA - JN'!I245:I268,Criterios!A5,
'UFCA - JN'!P245:P268,Criterios!A19)
+SUMIFS('UFCA - JN'!M245:M268,'UFCA - JN'!I245:I268,Criterios!A6,
'UFCA - JN'!P245:P268,Criterios!A19)
+SUMIFS('UFCA - JN'!M245:M268,'UFCA - JN'!I245:I268,Criterios!A7,
'UFCA - JN'!P245:P268,Criterios!A19)
+SUMIFS('UFCA - JN'!M245:M268,'UFCA - JN'!I245:I268,Criterios!A8,
'UFCA - JN'!P245:P268,Criterios!A19)
+SUMIFS('UFCA - JN'!M245:M268,'UFCA - JN'!I245:I268,Criterios!A9,
'UFCA - JN'!P245:P268,Criterios!A19)
+SUMIF('UFCA - JN'!I245:I268,Criterios!A12,'UFCA - JN'!M245:M268)
+SUMIF('UFCA - JN'!I245:I268,Criterios!A13,'UFCA - JN'!M245:M268)</f>
        <v>200.68</v>
      </c>
      <c r="C13" s="464">
        <f>SUMIFS('UFCA - JN'!M245:M268,'UFCA - JN'!I245:I268,Criterios!B4,
'UFCA - JN'!P245:P268,Criterios!B19)
+SUMIFS('UFCA - JN'!M245:M268,'UFCA - JN'!I245:I268,Criterios!B5,
'UFCA - JN'!P245:P268,Criterios!B19)
+SUMIFS('UFCA - JN'!M245:M268,'UFCA - JN'!I245:I268,Criterios!B6,
'UFCA - JN'!P245:P268,Criterios!B19)
+SUMIFS('UFCA - JN'!M245:M268,'UFCA - JN'!I245:I268,Criterios!B7,
'UFCA - JN'!P245:P268,Criterios!B19)
+SUMIFS('UFCA - JN'!M245:M268,'UFCA - JN'!I245:I268,Criterios!B8,
'UFCA - JN'!P245:P268,Criterios!B19)
+SUMIFS('UFCA - JN'!M245:M268,'UFCA - JN'!I245:I268,Criterios!B4,
'UFCA - JN'!P245:P268,Criterios!B20)
+SUMIFS('UFCA - JN'!M245:M268,'UFCA - JN'!I245:I268,Criterios!B5,
'UFCA - JN'!P245:P268,Criterios!B20)
+SUMIFS('UFCA - JN'!M245:M268,'UFCA - JN'!I245:I268,Criterios!B6,
'UFCA - JN'!P245:P268,Criterios!B20)
+SUMIFS('UFCA - JN'!M245:M268,'UFCA - JN'!I245:I268,Criterios!B7,
'UFCA - JN'!P245:P268,Criterios!B20)
+SUMIFS('UFCA - JN'!M245:M268,'UFCA - JN'!I245:I268,Criterios!B8,
'UFCA - JN'!P245:P268,Criterios!B20)</f>
        <v>443.53</v>
      </c>
      <c r="D13" s="32" t="s">
        <v>100</v>
      </c>
      <c r="E13" s="32" t="s">
        <v>100</v>
      </c>
      <c r="F13" s="464">
        <f>SUMIF('UFCA - JN'!I245:I268,Criterios!E4,'UFCA - JN'!M245:M268)
+SUMIF('UFCA - JN'!I245:I268,Criterios!E5,'UFCA - JN'!M245:M268)
+SUMIF('UFCA - JN'!I245:I268,Criterios!E6,'UFCA - JN'!M245:M268)
+SUMIF('UFCA - JN'!I245:I268,Criterios!E7,'UFCA - JN'!M245:M268)
+SUMIF('UFCA - JN'!I245:I268,Criterios!E8,'UFCA - JN'!M245:M268)
+SUMIF('UFCA - JN'!I245:I268,Criterios!E9,'UFCA - JN'!M245:M268)</f>
        <v>65.84</v>
      </c>
      <c r="G13" s="32">
        <f>SUMIF('UFCA - JN'!I245:I268,Criterios!F4,'UFCA - JN'!M245:M268)</f>
        <v>43.07</v>
      </c>
      <c r="H13" s="155">
        <f t="shared" si="0"/>
        <v>753.12000000000012</v>
      </c>
      <c r="K13">
        <f>SUM('UFCA - JN'!M245:M268)</f>
        <v>753.11999999999989</v>
      </c>
      <c r="L13" s="2">
        <f t="shared" si="1"/>
        <v>0</v>
      </c>
      <c r="M13">
        <f>SUMIF('UFCA - JN'!$F$4:$F$825,'TOTAL - JN'!A13,'UFCA - JN'!$M$4:$M$825)</f>
        <v>753.11999999999989</v>
      </c>
    </row>
    <row r="14" spans="1:16">
      <c r="A14" s="26" t="s">
        <v>387</v>
      </c>
      <c r="B14" s="36">
        <f>SUMIFS('UFCA - JN'!M269:M338,'UFCA - JN'!I269:I338,Criterios!A4,
'UFCA - JN'!P269:P338,Criterios!A19)
+SUMIFS('UFCA - JN'!M269:M338,'UFCA - JN'!I269:I338,Criterios!A5,
'UFCA - JN'!P269:P338,Criterios!A19)
+SUMIFS('UFCA - JN'!M269:M338,'UFCA - JN'!I269:I338,Criterios!A6,
'UFCA - JN'!P269:P338,Criterios!A19)
+SUMIFS('UFCA - JN'!M269:M338,'UFCA - JN'!I269:I338,Criterios!A7,
'UFCA - JN'!P269:P338,Criterios!A19)
+SUMIFS('UFCA - JN'!M269:M338,'UFCA - JN'!I269:I338,Criterios!A8,
'UFCA - JN'!P269:P338,Criterios!A19)
+SUMIFS('UFCA - JN'!M269:M338,'UFCA - JN'!I269:I338,Criterios!A9,
'UFCA - JN'!P269:P338,Criterios!A19)
+SUMIFS('UFCA - JN'!M269:M338,'UFCA - JN'!I269:I338,Criterios!A10,
'UFCA - JN'!P269:P338,Criterios!A19)
+SUMIFS('UFCA - JN'!M269:M338,'UFCA - JN'!I269:I338,Criterios!A11,
'UFCA - JN'!P269:P338,Criterios!A19)
+SUMIFS('UFCA - JN'!M269:M338,'UFCA - JN'!I269:I338,Criterios!A12,
'UFCA - JN'!P269:P338,Criterios!A19)
+SUMIFS('UFCA - JN'!M269:M338,'UFCA - JN'!I269:I338,Criterios!A13,
'UFCA - JN'!P269:P338,Criterios!A19)
+SUMIFS('UFCA - JN'!M269:M338,'UFCA - JN'!I269:I338,Criterios!A14,
'UFCA - JN'!P269:P338,Criterios!A19)
+SUMIFS('UFCA - JN'!M269:M338,'UFCA - JN'!I269:I338,Criterios!A15,
'UFCA - JN'!P269:P338,Criterios!A19)</f>
        <v>2286.4899999999998</v>
      </c>
      <c r="C14" s="36">
        <f>SUMIFS('UFCA - JN'!M269:M338,'UFCA - JN'!I269:I338,Criterios!B4,
'UFCA - JN'!P269:P338,Criterios!B19)
+SUMIFS('UFCA - JN'!M269:M338,'UFCA - JN'!I269:I338,Criterios!B5,
'UFCA - JN'!P269:P338,Criterios!B19)
+SUMIFS('UFCA - JN'!M269:M338,'UFCA - JN'!I269:I338,Criterios!B6,
'UFCA - JN'!P269:P338,Criterios!B19)
+SUMIFS('UFCA - JN'!M269:M338,'UFCA - JN'!I269:I338,Criterios!B8,
'UFCA - JN'!P269:P338,Criterios!B19)
+SUMIFS('UFCA - JN'!M269:M338,'UFCA - JN'!I269:I338,Criterios!A4,
'UFCA - JN'!P269:P338,Criterios!B19)
+SUMIFS('UFCA - JN'!M269:M338,'UFCA - JN'!I269:I338,Criterios!A5,
'UFCA - JN'!P269:P338,Criterios!B19)
+SUMIFS('UFCA - JN'!M269:M338,'UFCA - JN'!I269:I338,Criterios!A6,
'UFCA - JN'!P269:P338,Criterios!B19)
+SUMIFS('UFCA - JN'!M269:M338,'UFCA - JN'!I269:I338,Criterios!A8,
'UFCA - JN'!P269:P338,Criterios!B19)
+SUMIFS('UFCA - JN'!M269:M338,'UFCA - JN'!I269:I338,Criterios!A11,
'UFCA - JN'!P269:P338,Criterios!B19)
+SUMIFS('UFCA - JN'!M269:M338,'UFCA - JN'!I269:I338,Criterios!A12,
'UFCA - JN'!P269:P338,Criterios!B19)
+SUMIFS('UFCA - JN'!M269:M338,'UFCA - JN'!I269:I338,Criterios!A13,
'UFCA - JN'!P269:P338,Criterios!B19)
+SUMIFS('UFCA - JN'!M269:M338,'UFCA - JN'!I269:I338,Criterios!A14,
'UFCA - JN'!P269:P338,Criterios!B19)</f>
        <v>10.48</v>
      </c>
      <c r="D14" s="15" t="s">
        <v>100</v>
      </c>
      <c r="E14" s="15" t="s">
        <v>100</v>
      </c>
      <c r="F14" s="36">
        <f>SUMIF('UFCA - JN'!I269:I338,Criterios!E4,'UFCA - JN'!M269:M338)
+SUMIF('UFCA - JN'!I269:I338,Criterios!E5,'UFCA - JN'!M269:M338)
+SUMIF('UFCA - JN'!I269:I338,Criterios!E6,'UFCA - JN'!M269:M338)
+SUMIF('UFCA - JN'!I269:I338,Criterios!E7,'UFCA - JN'!M269:M338)
+SUMIF('UFCA - JN'!I269:I338,Criterios!E8,'UFCA - JN'!M269:M338)
+SUMIF('UFCA - JN'!I269:I338,Criterios!E9,'UFCA - JN'!M269:M338)</f>
        <v>637.46</v>
      </c>
      <c r="G14" s="15">
        <f>SUMIF('UFCA - JN'!I269:I338,Criterios!F4,'UFCA - JN'!M269:M338)</f>
        <v>133.32</v>
      </c>
      <c r="H14" s="28">
        <f t="shared" si="0"/>
        <v>3067.75</v>
      </c>
      <c r="K14">
        <f>SUM('UFCA - JN'!M269:M338)</f>
        <v>3067.7499999999995</v>
      </c>
      <c r="L14" s="2">
        <f t="shared" si="1"/>
        <v>0</v>
      </c>
      <c r="M14">
        <f>SUMIF('UFCA - JN'!$F$4:$F$825,'TOTAL - JN'!A14,'UFCA - JN'!$M$4:$M$825)</f>
        <v>3067.7499999999995</v>
      </c>
    </row>
    <row r="15" spans="1:16">
      <c r="A15" s="26" t="s">
        <v>359</v>
      </c>
      <c r="B15" s="464">
        <f>SUMIFS('UFCA - JN'!M339:M347,'UFCA - JN'!I339:I347,Criterios!A4,
'UFCA - JN'!P339:P347,Criterios!A19)
+SUMIFS('UFCA - JN'!M339:M347,'UFCA - JN'!I339:I347,Criterios!A5,
'UFCA - JN'!P339:P347,Criterios!A19)
+SUMIFS('UFCA - JN'!M339:M347,'UFCA - JN'!I339:I347,Criterios!A6,
'UFCA - JN'!P339:P347,Criterios!A19)
+SUMIFS('UFCA - JN'!M339:M347,'UFCA - JN'!I339:I347,Criterios!A7,
'UFCA - JN'!P339:P347,Criterios!A19)
+SUMIFS('UFCA - JN'!M339:M347,'UFCA - JN'!I339:I347,Criterios!A8,
'UFCA - JN'!P339:P347,Criterios!A19)
+SUMIFS('UFCA - JN'!M339:M347,'UFCA - JN'!I339:I347,Criterios!A9,
'UFCA - JN'!P339:P347,Criterios!A19)
+SUMIF('UFCA - JN'!I339:I347,Criterios!A12,'UFCA - JN'!M339:M347)
+SUMIF('UFCA - JN'!I339:I347,Criterios!A13,'UFCA - JN'!M339:M347)</f>
        <v>82.22</v>
      </c>
      <c r="C15" s="15" t="s">
        <v>100</v>
      </c>
      <c r="D15" s="15" t="s">
        <v>100</v>
      </c>
      <c r="E15" s="15">
        <f>SUMIF('UFCA - JN'!I339:I347,Criterios!D4,'UFCA - JN'!M339:M347)</f>
        <v>555.5</v>
      </c>
      <c r="F15" s="36">
        <f>SUMIF('UFCA - JN'!I339:I347,Criterios!E4,'UFCA - JN'!M339:M347)
+SUMIF('UFCA - JN'!I339:I347,Criterios!E5,'UFCA - JN'!M339:M347)
+SUMIF('UFCA - JN'!I339:I347,Criterios!E6,'UFCA - JN'!M339:M347)
+SUMIF('UFCA - JN'!I339:I347,Criterios!E7,'UFCA - JN'!M339:M347)
+SUMIF('UFCA - JN'!I339:I347,Criterios!E8,'UFCA - JN'!M339:M347)
+SUMIF('UFCA - JN'!I339:I347,Criterios!E9,'UFCA - JN'!M339:M347)</f>
        <v>138.98000000000002</v>
      </c>
      <c r="G15" s="15" t="s">
        <v>100</v>
      </c>
      <c r="H15" s="28">
        <f t="shared" si="0"/>
        <v>776.7</v>
      </c>
      <c r="K15">
        <f>SUM('UFCA - JN'!M339:M347)</f>
        <v>776.7</v>
      </c>
      <c r="L15" s="2">
        <f t="shared" si="1"/>
        <v>0</v>
      </c>
      <c r="M15">
        <f>SUMIF('UFCA - JN'!$F$4:$F$825,'TOTAL - JN'!A15,'UFCA - JN'!$M$4:$M$825)</f>
        <v>776.7</v>
      </c>
    </row>
    <row r="16" spans="1:16">
      <c r="A16" s="26" t="s">
        <v>398</v>
      </c>
      <c r="B16" s="36">
        <f>SUMIFS('UFCA - JN'!M348:M423,'UFCA - JN'!I348:I423,Criterios!A4,
'UFCA - JN'!P348:P423,Criterios!A19)
+SUMIFS('UFCA - JN'!M348:M423,'UFCA - JN'!I348:I423,Criterios!A5,
'UFCA - JN'!P348:P423,Criterios!A19)
+SUMIFS('UFCA - JN'!M348:M423,'UFCA - JN'!I348:I423,Criterios!A6,
'UFCA - JN'!P348:P423,Criterios!A19)
+SUMIFS('UFCA - JN'!M348:M423,'UFCA - JN'!I348:I423,Criterios!A7,
'UFCA - JN'!P348:P423,Criterios!A19)
+SUMIFS('UFCA - JN'!M348:M423,'UFCA - JN'!I348:I423,Criterios!A8,
'UFCA - JN'!P348:P423,Criterios!A19)
+SUMIFS('UFCA - JN'!M348:M423,'UFCA - JN'!I348:I423,Criterios!A9,
'UFCA - JN'!P348:P423,Criterios!A19)
+SUMIFS('UFCA - JN'!M348:M423,'UFCA - JN'!I348:I423,Criterios!A10,
'UFCA - JN'!P348:P423,Criterios!A19)
+SUMIFS('UFCA - JN'!M348:M423,'UFCA - JN'!I348:I423,Criterios!A11,
'UFCA - JN'!P348:P423,Criterios!A19)
+SUMIFS('UFCA - JN'!M348:M423,'UFCA - JN'!I348:I423,Criterios!A12,
'UFCA - JN'!P348:P423,Criterios!A19)
+SUMIFS('UFCA - JN'!M348:M423,'UFCA - JN'!I348:I423,Criterios!A13,
'UFCA - JN'!P348:P423,Criterios!A19)
+SUMIFS('UFCA - JN'!M348:M423,'UFCA - JN'!I348:I423,Criterios!A14,
'UFCA - JN'!P348:P423,Criterios!A19)
+SUMIFS('UFCA - JN'!M348:M423,'UFCA - JN'!I348:I423,Criterios!A15,
'UFCA - JN'!P348:P423,Criterios!A19)</f>
        <v>2207.9300000000003</v>
      </c>
      <c r="C16" s="36">
        <f>SUMIFS('UFCA - JN'!M348:M423,'UFCA - JN'!I348:I423,Criterios!B4,
'UFCA - JN'!P348:P423,Criterios!B19)
+SUMIFS('UFCA - JN'!M348:M423,'UFCA - JN'!I348:I423,Criterios!B5,
'UFCA - JN'!P348:P423,Criterios!B19)
+SUMIFS('UFCA - JN'!M348:M423,'UFCA - JN'!I348:I423,Criterios!B6,
'UFCA - JN'!P348:P423,Criterios!B19)
+SUMIFS('UFCA - JN'!M348:M423,'UFCA - JN'!I348:I423,Criterios!B7,
'UFCA - JN'!P348:P423,Criterios!B19)
+SUMIFS('UFCA - JN'!M348:M423,'UFCA - JN'!I348:I423,Criterios!B8,
'UFCA - JN'!P348:P423,Criterios!B19)
+SUMIFS('UFCA - JN'!M348:M423,'UFCA - JN'!I348:I423,Criterios!A4,
'UFCA - JN'!P348:P423,Criterios!B19)
+SUMIFS('UFCA - JN'!M348:M423,'UFCA - JN'!I348:I423,Criterios!A5,
'UFCA - JN'!P348:P423,Criterios!B19)
+SUMIFS('UFCA - JN'!M348:M423,'UFCA - JN'!I348:I423,Criterios!A6,
'UFCA - JN'!P348:P423,Criterios!B19)
+SUMIFS('UFCA - JN'!M348:M423,'UFCA - JN'!I348:I423,Criterios!A8,
'UFCA - JN'!P348:P423,Criterios!B19)
+SUMIFS('UFCA - JN'!M348:M423,'UFCA - JN'!I348:I423,Criterios!A11,
'UFCA - JN'!P348:P423,Criterios!B19)
+SUMIFS('UFCA - JN'!M348:M423,'UFCA - JN'!I348:I423,Criterios!A12,
'UFCA - JN'!P348:P423,Criterios!B19)
+SUMIFS('UFCA - JN'!M348:M423,'UFCA - JN'!I348:I423,Criterios!A13,
'UFCA - JN'!P348:P423,Criterios!B19)
+SUMIFS('UFCA - JN'!M348:M423,'UFCA - JN'!I348:I423,Criterios!A14,
'UFCA - JN'!P348:P423,Criterios!B19)</f>
        <v>33.24</v>
      </c>
      <c r="D16" s="15">
        <f>SUMIF('UFCA - JN'!I348:I423,Criterios!C4,'UFCA - JN'!M348:M423)</f>
        <v>0</v>
      </c>
      <c r="E16" s="15" t="s">
        <v>100</v>
      </c>
      <c r="F16" s="36">
        <f>SUMIF('UFCA - JN'!I348:I423,Criterios!E4,'UFCA - JN'!M348:M423)
+SUMIF('UFCA - JN'!I348:I423,Criterios!E5,'UFCA - JN'!M348:M423)
+SUMIF('UFCA - JN'!I348:I423,Criterios!E6,'UFCA - JN'!M348:M423)
+SUMIF('UFCA - JN'!I348:I423,Criterios!E7,'UFCA - JN'!M348:M423)
+SUMIF('UFCA - JN'!I348:I423,Criterios!E8,'UFCA - JN'!M348:M423)
+SUMIF('UFCA - JN'!I348:I423,Criterios!E9,'UFCA - JN'!M348:M423)</f>
        <v>742.83</v>
      </c>
      <c r="G16" s="15">
        <f>SUMIF('UFCA - JN'!I348:I423,Criterios!F4,'UFCA - JN'!M348:M423)</f>
        <v>131.88000000000002</v>
      </c>
      <c r="H16" s="28">
        <f t="shared" si="0"/>
        <v>3115.88</v>
      </c>
      <c r="K16">
        <f>SUM('UFCA - JN'!M348:M423)</f>
        <v>3115.8799999999987</v>
      </c>
      <c r="L16" s="2">
        <f t="shared" si="1"/>
        <v>0</v>
      </c>
      <c r="M16">
        <f>SUMIF('UFCA - JN'!$F$4:$F$825,'TOTAL - JN'!A16,'UFCA - JN'!$M$4:$M$825)</f>
        <v>3115.8799999999987</v>
      </c>
    </row>
    <row r="17" spans="1:13">
      <c r="A17" s="26" t="s">
        <v>444</v>
      </c>
      <c r="B17" s="36">
        <f>SUMIFS('UFCA - JN'!M424:M448,'UFCA - JN'!I424:I448,Criterios!A4,
'UFCA - JN'!P424:P448,Criterios!A19)
+SUMIFS('UFCA - JN'!M424:M448,'UFCA - JN'!I424:I448,Criterios!A5,
'UFCA - JN'!P424:P448,Criterios!A19)
+SUMIFS('UFCA - JN'!M424:M448,'UFCA - JN'!I424:I448,Criterios!A6,
'UFCA - JN'!P424:P448,Criterios!A19)
+SUMIFS('UFCA - JN'!M424:M448,'UFCA - JN'!I424:I448,Criterios!A7,
'UFCA - JN'!P424:P448,Criterios!A19)
+SUMIFS('UFCA - JN'!M424:M448,'UFCA - JN'!I424:I448,Criterios!A8,
'UFCA - JN'!P424:P448,Criterios!A19)
+SUMIFS('UFCA - JN'!M424:M448,'UFCA - JN'!I424:I448,Criterios!A9,
'UFCA - JN'!P424:P448,Criterios!A19)
+SUMIF('UFCA - JN'!I424:I448,Criterios!A12,'UFCA - JN'!M424:M448)
+SUMIF('UFCA - JN'!I424:I448,Criterios!A13,'UFCA - JN'!M424:M448)</f>
        <v>413.15</v>
      </c>
      <c r="C17" s="36">
        <f>SUMIFS('UFCA - JN'!M424:M448,'UFCA - JN'!I424:I448,Criterios!B4,
'UFCA - JN'!P424:P448,Criterios!B19)
+SUMIFS('UFCA - JN'!M424:M448,'UFCA - JN'!I424:I448,Criterios!B5,
'UFCA - JN'!P424:P448,Criterios!B19)
+SUMIFS('UFCA - JN'!M424:M448,'UFCA - JN'!I424:I448,Criterios!B6,
'UFCA - JN'!P424:P448,Criterios!B19)
+SUMIFS('UFCA - JN'!M424:M448,'UFCA - JN'!I424:I448,Criterios!B7,
'UFCA - JN'!P424:P448,Criterios!B19)
+SUMIFS('UFCA - JN'!M424:M448,'UFCA - JN'!I424:I448,Criterios!B8,
'UFCA - JN'!P424:P448,Criterios!B19)
+SUMIFS('UFCA - JN'!M424:M448,'UFCA - JN'!I424:I448,Criterios!B4,
'UFCA - JN'!P424:P448,Criterios!B20)
+SUMIFS('UFCA - JN'!M424:M448,'UFCA - JN'!I424:I448,Criterios!B5,
'UFCA - JN'!P424:P448,Criterios!B20)
+SUMIFS('UFCA - JN'!M424:M448,'UFCA - JN'!I424:I448,Criterios!B6,
'UFCA - JN'!P424:P448,Criterios!B20)
+SUMIFS('UFCA - JN'!M424:M448,'UFCA - JN'!I424:I448,Criterios!B7,
'UFCA - JN'!P424:P448,Criterios!B20)
+SUMIFS('UFCA - JN'!M424:M448,'UFCA - JN'!I424:I448,Criterios!B8,
'UFCA - JN'!P424:P448,Criterios!B20)</f>
        <v>0</v>
      </c>
      <c r="D17" s="15">
        <f>SUMIF('UFCA - JN'!I424:I448,Criterios!C4,'UFCA - JN'!M424:M448)</f>
        <v>130.91999999999999</v>
      </c>
      <c r="E17" s="15" t="s">
        <v>100</v>
      </c>
      <c r="F17" s="36">
        <f>SUMIF('UFCA - JN'!I424:I448,Criterios!E4,'UFCA - JN'!M424:M448)
+SUMIF('UFCA - JN'!I424:I448,Criterios!E5,'UFCA - JN'!M424:M448)
+SUMIF('UFCA - JN'!I424:I448,Criterios!E6,'UFCA - JN'!M424:M448)
+SUMIF('UFCA - JN'!I424:I448,Criterios!E7,'UFCA - JN'!M424:M448)
+SUMIF('UFCA - JN'!I424:I448,Criterios!E8,'UFCA - JN'!M424:M448)
+SUMIF('UFCA - JN'!I424:I448,Criterios!E9,'UFCA - JN'!M424:M448)</f>
        <v>181.64</v>
      </c>
      <c r="G17" s="15">
        <f>SUMIF('UFCA - JN'!I424:I448,Criterios!F4,'UFCA - JN'!M424:M448)</f>
        <v>25.779999999999998</v>
      </c>
      <c r="H17" s="28">
        <f t="shared" si="0"/>
        <v>751.4899999999999</v>
      </c>
      <c r="K17" s="2">
        <f>SUM('UFCA - JN'!M424:M448)</f>
        <v>751.48999999999967</v>
      </c>
      <c r="L17" s="2">
        <f t="shared" si="1"/>
        <v>0</v>
      </c>
      <c r="M17">
        <f>SUMIF('UFCA - JN'!$F$4:$F$825,'TOTAL - JN'!A17,'UFCA - JN'!$M$4:$M$825)</f>
        <v>751.48999999999967</v>
      </c>
    </row>
    <row r="18" spans="1:13">
      <c r="A18" s="26" t="s">
        <v>511</v>
      </c>
      <c r="B18" s="36">
        <f>SUMIFS('UFCA - JN'!M449:M549,'UFCA - JN'!I449:I549,Criterios!A4,
'UFCA - JN'!P449:P549,Criterios!A19)
+SUMIFS('UFCA - JN'!M449:M549,'UFCA - JN'!I449:I549,Criterios!A5,
'UFCA - JN'!P449:P549,Criterios!A19)
+SUMIFS('UFCA - JN'!M449:M549,'UFCA - JN'!I449:I549,Criterios!A6,
'UFCA - JN'!P449:P549,Criterios!A19)
+SUMIFS('UFCA - JN'!M449:M549,'UFCA - JN'!I449:I549,Criterios!A7,
'UFCA - JN'!P449:P549,Criterios!A19)
+SUMIFS('UFCA - JN'!M449:M549,'UFCA - JN'!I449:I549,Criterios!A8,
'UFCA - JN'!P449:P549,Criterios!A19)
+SUMIFS('UFCA - JN'!M449:M549,'UFCA - JN'!I449:I549,Criterios!A9,
'UFCA - JN'!P449:P549,Criterios!A19)
+SUMIFS('UFCA - JN'!M449:M549,'UFCA - JN'!I449:I549,Criterios!A10,
'UFCA - JN'!P449:P549,Criterios!A19)
+SUMIFS('UFCA - JN'!M449:M549,'UFCA - JN'!I449:I549,Criterios!A11,
'UFCA - JN'!P449:P549,Criterios!A19)
+SUMIFS('UFCA - JN'!M449:M549,'UFCA - JN'!I449:I549,Criterios!A12,
'UFCA - JN'!P449:P549,Criterios!A19)
+SUMIFS('UFCA - JN'!M449:M549,'UFCA - JN'!I449:I549,Criterios!A13,
'UFCA - JN'!P449:P549,Criterios!A19)
+SUMIFS('UFCA - JN'!M449:M549,'UFCA - JN'!I449:I549,Criterios!A14,
'UFCA - JN'!P449:P549,Criterios!A19)
+SUMIFS('UFCA - JN'!M449:M549,'UFCA - JN'!I449:I549,Criterios!A15,
'UFCA - JN'!P449:P549,Criterios!A19)</f>
        <v>2167.1699999999996</v>
      </c>
      <c r="C18" s="36">
        <f>SUMIFS('UFCA - JN'!M449:M549,'UFCA - JN'!I449:I549,Criterios!B4,
'UFCA - JN'!P449:P549,Criterios!B19)
+SUMIFS('UFCA - JN'!M449:M549,'UFCA - JN'!I449:I549,Criterios!B5,
'UFCA - JN'!P449:P549,Criterios!B19)
+SUMIFS('UFCA - JN'!M449:M549,'UFCA - JN'!I449:I549,Criterios!B6,
'UFCA - JN'!P449:P549,Criterios!B19)
+SUMIFS('UFCA - JN'!M449:M549,'UFCA - JN'!I449:I549,Criterios!B7,
'UFCA - JN'!P449:P549,Criterios!B19)
+SUMIFS('UFCA - JN'!M449:M549,'UFCA - JN'!I449:I549,Criterios!B8,
'UFCA - JN'!P449:P549,Criterios!B19)
+SUMIFS('UFCA - JN'!M449:M549,'UFCA - JN'!I449:I549,Criterios!A4,
'UFCA - JN'!P449:P549,Criterios!B19)
+SUMIFS('UFCA - JN'!M449:M549,'UFCA - JN'!I449:I549,Criterios!A5,
'UFCA - JN'!P449:P549,Criterios!B19)
+SUMIFS('UFCA - JN'!M449:M549,'UFCA - JN'!I449:I549,Criterios!A6,
'UFCA - JN'!P449:P549,Criterios!B19)
+SUMIFS('UFCA - JN'!M449:M549,'UFCA - JN'!I449:I549,Criterios!A8,
'UFCA - JN'!P449:P549,Criterios!B19)
+SUMIFS('UFCA - JN'!M449:M549,'UFCA - JN'!I449:I549,Criterios!A11,
'UFCA - JN'!P449:P549,Criterios!B19)
+SUMIFS('UFCA - JN'!M449:M549,'UFCA - JN'!I449:I549,Criterios!A12,
'UFCA - JN'!P449:P549,Criterios!B19)
+SUMIFS('UFCA - JN'!M449:M549,'UFCA - JN'!I449:I549,Criterios!A13,
'UFCA - JN'!P449:P549,Criterios!B19)
+SUMIFS('UFCA - JN'!M449:M549,'UFCA - JN'!I449:I549,Criterios!A14,
'UFCA - JN'!P449:P549,Criterios!B19)</f>
        <v>18</v>
      </c>
      <c r="D18" s="15" t="s">
        <v>100</v>
      </c>
      <c r="E18" s="15" t="s">
        <v>100</v>
      </c>
      <c r="F18" s="464">
        <f>SUMIF('UFCA - JN'!I449:I549,Criterios!E4,'UFCA - JN'!M449:M549)
+SUMIF('UFCA - JN'!I449:I549,Criterios!E5,'UFCA - JN'!M449:M549)
+SUMIF('UFCA - JN'!I449:I549,Criterios!E6,'UFCA - JN'!M449:M549)
+SUMIF('UFCA - JN'!I449:I549,Criterios!E7,'UFCA - JN'!M449:M549)
+SUMIF('UFCA - JN'!I449:I549,Criterios!E8,'UFCA - JN'!M449:M549)
+SUMIF('UFCA - JN'!I449:I549,Criterios!E9,'UFCA - JN'!M449:M549)</f>
        <v>601.32000000000005</v>
      </c>
      <c r="G18" s="15">
        <f>SUMIF('UFCA - JN'!I449:I549,Criterios!F4,'UFCA - JN'!M449:M549)</f>
        <v>185.82</v>
      </c>
      <c r="H18" s="28">
        <f t="shared" si="0"/>
        <v>2972.31</v>
      </c>
      <c r="K18">
        <f>SUM('UFCA - JN'!M449:M549)</f>
        <v>2972.3099999999986</v>
      </c>
      <c r="L18" s="2">
        <f t="shared" si="1"/>
        <v>0</v>
      </c>
      <c r="M18">
        <f>SUMIF('UFCA - JN'!$F$4:$F$825,'TOTAL - JN'!A18,'UFCA - JN'!$M$4:$M$825)</f>
        <v>2972.3099999999986</v>
      </c>
    </row>
    <row r="19" spans="1:13">
      <c r="A19" s="26" t="s">
        <v>512</v>
      </c>
      <c r="B19" s="36">
        <f>SUMIFS('UFCA - JN'!M550:M577,'UFCA - JN'!I550:I577,Criterios!A4,
'UFCA - JN'!P550:P577,Criterios!A19)
+SUMIFS('UFCA - JN'!M550:M577,'UFCA - JN'!I550:I577,Criterios!A5,
'UFCA - JN'!P550:P577,Criterios!A19)
+SUMIFS('UFCA - JN'!M550:M577,'UFCA - JN'!I550:I577,Criterios!A6,
'UFCA - JN'!P550:P577,Criterios!A19)
+SUMIFS('UFCA - JN'!M550:M577,'UFCA - JN'!I550:I577,Criterios!A7,
'UFCA - JN'!P550:P577,Criterios!A19)
+SUMIFS('UFCA - JN'!M550:M577,'UFCA - JN'!I550:I577,Criterios!A8,
'UFCA - JN'!P550:P577,Criterios!A19)
+SUMIFS('UFCA - JN'!M550:M577,'UFCA - JN'!I550:I577,Criterios!A9,
'UFCA - JN'!P550:P577,Criterios!A19)</f>
        <v>113.22000000000001</v>
      </c>
      <c r="C19" s="15" t="s">
        <v>100</v>
      </c>
      <c r="D19" s="15">
        <f>SUMIF('UFCA - JN'!I550:I577,Criterios!C4,'UFCA - JN'!M550:M577)</f>
        <v>459.64000000000004</v>
      </c>
      <c r="E19" s="15" t="s">
        <v>100</v>
      </c>
      <c r="F19" s="36">
        <f>SUMIF('UFCA - JN'!I550:I577,Criterios!E4,'UFCA - JN'!M550:M577)
+SUMIF('UFCA - JN'!I550:I577,Criterios!E5,'UFCA - JN'!M550:M577)
+SUMIF('UFCA - JN'!I550:I577,Criterios!E6,'UFCA - JN'!M550:M577)
+SUMIF('UFCA - JN'!I550:I577,Criterios!E7,'UFCA - JN'!M550:M577)
+SUMIF('UFCA - JN'!I550:I577,Criterios!E8,'UFCA - JN'!M550:M577)
+SUMIF('UFCA - JN'!I550:I577,Criterios!E9,'UFCA - JN'!M550:M577)</f>
        <v>147.38999999999999</v>
      </c>
      <c r="G19" s="15">
        <f>SUMIF('UFCA - JN'!I550:I577,Criterios!F4,'UFCA - JN'!M550:M577)</f>
        <v>26.11</v>
      </c>
      <c r="H19" s="28">
        <f t="shared" si="0"/>
        <v>746.36</v>
      </c>
      <c r="K19" s="2">
        <f>SUM('UFCA - JN'!M550:M577)</f>
        <v>746.35999999999967</v>
      </c>
      <c r="L19" s="2">
        <f t="shared" si="1"/>
        <v>0</v>
      </c>
      <c r="M19">
        <f>SUMIF('UFCA - JN'!$F$4:$F$825,'TOTAL - JN'!A19,'UFCA - JN'!$M$4:$M$825)</f>
        <v>746.35999999999967</v>
      </c>
    </row>
    <row r="20" spans="1:13">
      <c r="A20" s="158" t="s">
        <v>1906</v>
      </c>
      <c r="B20" s="36">
        <f>SUMIFS('UFCA - JN'!M578:M760,'UFCA - JN'!I578:I760,Criterios!A4,
'UFCA - JN'!P578:P760,Criterios!A19)
+SUMIFS('UFCA - JN'!M578:M760,'UFCA - JN'!I578:I760,Criterios!A5,
'UFCA - JN'!P578:P760,Criterios!A19)
+SUMIFS('UFCA - JN'!M578:M760,'UFCA - JN'!I578:I760,Criterios!A6,
'UFCA - JN'!P578:P760,Criterios!A19)
+SUMIFS('UFCA - JN'!M578:M760,'UFCA - JN'!I578:I760,Criterios!A7,
'UFCA - JN'!P578:P760,Criterios!A19)
+SUMIFS('UFCA - JN'!M578:M760,'UFCA - JN'!I578:I760,Criterios!A8,
'UFCA - JN'!P578:P760,Criterios!A19)
+SUMIFS('UFCA - JN'!M578:M760,'UFCA - JN'!I578:I760,Criterios!A9,
'UFCA - JN'!P578:P760,Criterios!A19)
+SUMIFS('UFCA - JN'!M578:M760,'UFCA - JN'!I578:I760,Criterios!A10,
'UFCA - JN'!P578:P760,Criterios!A19)
+SUMIFS('UFCA - JN'!M578:M760,'UFCA - JN'!I578:I760,Criterios!A11,
'UFCA - JN'!P578:P760,Criterios!A19)
+SUMIFS('UFCA - JN'!M578:M760,'UFCA - JN'!I578:I760,Criterios!A12,
'UFCA - JN'!P578:P760,Criterios!A19)
+SUMIFS('UFCA - JN'!M578:M760,'UFCA - JN'!I578:I760,Criterios!A13,
'UFCA - JN'!P578:P760,Criterios!A19)
+SUMIFS('UFCA - JN'!M578:M760,'UFCA - JN'!I578:I760,Criterios!A14,
'UFCA - JN'!P578:P760,Criterios!A19)
+SUMIFS('UFCA - JN'!M578:M760,'UFCA - JN'!I578:I760,Criterios!A15,
'UFCA - JN'!P578:P760,Criterios!A19)</f>
        <v>1876.9899999999975</v>
      </c>
      <c r="C20" s="36">
        <f>SUMIFS('UFCA - JN'!M578:M760,'UFCA - JN'!I578:I760,Criterios!B4,
'UFCA - JN'!P578:P760,Criterios!B19)
+SUMIFS('UFCA - JN'!M578:M760,'UFCA - JN'!I578:I760,Criterios!B5,
'UFCA - JN'!P578:P760,Criterios!B19)
+SUMIFS('UFCA - JN'!M578:M760,'UFCA - JN'!I578:I760,Criterios!B6,
'UFCA - JN'!P578:P760,Criterios!B19)
+SUMIFS('UFCA - JN'!M578:M760,'UFCA - JN'!I578:I760,Criterios!B7,
'UFCA - JN'!P578:P760,Criterios!B19)
+SUMIFS('UFCA - JN'!M578:M760,'UFCA - JN'!I578:I760,Criterios!B8,
'UFCA - JN'!P578:P760,Criterios!B19)
+SUMIFS('UFCA - JN'!M578:M760,'UFCA - JN'!I578:I760,Criterios!A4,
'UFCA - JN'!P578:P760,Criterios!B19)
+SUMIFS('UFCA - JN'!M578:M760,'UFCA - JN'!I578:I760,Criterios!A5,
'UFCA - JN'!P578:P760,Criterios!B19)
+SUMIFS('UFCA - JN'!M578:M760,'UFCA - JN'!I578:I760,Criterios!A6,
'UFCA - JN'!P578:P760,Criterios!B19)
+SUMIFS('UFCA - JN'!M578:M760,'UFCA - JN'!I578:I760,Criterios!A8,
'UFCA - JN'!P578:P760,Criterios!B19)
+SUMIFS('UFCA - JN'!M578:M760,'UFCA - JN'!I578:I760,Criterios!A11,
'UFCA - JN'!P578:P760,Criterios!B19)
+SUMIFS('UFCA - JN'!M578:M760,'UFCA - JN'!I578:I760,Criterios!A12,
'UFCA - JN'!P578:P760,Criterios!B19)
+SUMIFS('UFCA - JN'!M578:M760,'UFCA - JN'!I578:I760,Criterios!A13,
'UFCA - JN'!P578:P760,Criterios!B19)
+SUMIFS('UFCA - JN'!M578:M760,'UFCA - JN'!I578:I760,Criterios!A14,
'UFCA - JN'!P578:P760,Criterios!B19)</f>
        <v>29.01</v>
      </c>
      <c r="D20" s="15" t="s">
        <v>100</v>
      </c>
      <c r="E20" s="15" t="s">
        <v>100</v>
      </c>
      <c r="F20" s="36">
        <f>SUMIF('UFCA - JN'!I578:I760,Criterios!E4,'UFCA - JN'!M578:M760)
+SUMIF('UFCA - JN'!I578:I760,Criterios!E5,'UFCA - JN'!M578:M760)
+SUMIF('UFCA - JN'!I578:I760,Criterios!E6,'UFCA - JN'!M578:M760)
+SUMIF('UFCA - JN'!I578:I760,Criterios!E7,'UFCA - JN'!M578:M760)
+SUMIF('UFCA - JN'!I578:I760,Criterios!E8,'UFCA - JN'!M578:M760)
+SUMIF('UFCA - JN'!I578:I760,Criterios!E9,'UFCA - JN'!M578:M760)</f>
        <v>549.55999999999995</v>
      </c>
      <c r="G20" s="36">
        <f>SUMIF('UFCA - JN'!I578:I760,Criterios!F4,'UFCA - JN'!M578:M760)
+SUMIF('UFCA - JN'!I578:I760,Criterios!F8,'UFCA - JN'!M578:M760)</f>
        <v>289.82999999999981</v>
      </c>
      <c r="H20" s="28">
        <f t="shared" si="0"/>
        <v>2745.3899999999976</v>
      </c>
      <c r="K20" s="2">
        <f>SUM('UFCA - JN'!M578:M760)</f>
        <v>2745.3899999999981</v>
      </c>
      <c r="L20" s="2">
        <f t="shared" si="1"/>
        <v>0</v>
      </c>
      <c r="M20">
        <f>SUMIF('UFCA - JN'!$F$4:$F$825,'UFCA - JN'!F594,'UFCA - JN'!$M$4:$M$825)</f>
        <v>2745.3899999999981</v>
      </c>
    </row>
    <row r="21" spans="1:13">
      <c r="A21" s="158" t="s">
        <v>1907</v>
      </c>
      <c r="B21" s="15">
        <f>SUMIF('UFCA - JN'!I761:I778,Criterios!A9,'UFCA - JN'!M761:M778)</f>
        <v>5.0599999999999996</v>
      </c>
      <c r="C21" s="15" t="s">
        <v>100</v>
      </c>
      <c r="D21" s="15" t="s">
        <v>100</v>
      </c>
      <c r="E21" s="15" t="s">
        <v>100</v>
      </c>
      <c r="F21" s="36">
        <f>SUMIF('UFCA - JN'!I761:I778,Criterios!E4,'UFCA - JN'!M761:M778)
+SUMIF('UFCA - JN'!I761:I778,Criterios!E5,'UFCA - JN'!M761:M778)
+SUMIF('UFCA - JN'!I761:I778,Criterios!E6,'UFCA - JN'!M761:M778)
+SUMIF('UFCA - JN'!I761:I778,Criterios!E7,'UFCA - JN'!M761:M778)
+SUMIF('UFCA - JN'!I761:I778,Criterios!E8,'UFCA - JN'!M761:M778)
+SUMIF('UFCA - JN'!I761:I778,Criterios!E9,'UFCA - JN'!M761:M778)</f>
        <v>1345.74</v>
      </c>
      <c r="G21" s="15">
        <f>SUMIF('UFCA - JN'!I761:I778,Criterios!F4,'UFCA - JN'!M761:M778)</f>
        <v>74.16</v>
      </c>
      <c r="H21" s="28">
        <f t="shared" si="0"/>
        <v>1424.96</v>
      </c>
      <c r="K21" s="2">
        <f>SUM('UFCA - JN'!M761:M778)</f>
        <v>1424.9599999999998</v>
      </c>
      <c r="L21" s="2">
        <f t="shared" si="1"/>
        <v>0</v>
      </c>
      <c r="M21">
        <f>SUMIF('UFCA - JN'!$F$4:$F$825,'TOTAL - JN'!A21,'UFCA - JN'!$M$4:$M$825)</f>
        <v>0</v>
      </c>
    </row>
    <row r="22" spans="1:13">
      <c r="A22" s="158" t="s">
        <v>564</v>
      </c>
      <c r="B22" s="36">
        <f>SUMIF('UFCA - JN'!I779:I786,Criterios!A4,'UFCA - JN'!M779:M786)
+SUMIF('UFCA - JN'!I779:I786,Criterios!A9,'UFCA - JN'!M779:M786)
+SUMIF('UFCA - JN'!I779:I786,Criterios!A10,'UFCA - JN'!M779:M786)
+SUMIF('UFCA - JN'!I779:I786,Criterios!A12,'UFCA - JN'!M779:M786)</f>
        <v>82.550000000000011</v>
      </c>
      <c r="C22" s="15" t="s">
        <v>100</v>
      </c>
      <c r="D22" s="15" t="s">
        <v>100</v>
      </c>
      <c r="E22" s="15" t="s">
        <v>100</v>
      </c>
      <c r="F22" s="36">
        <f>SUMIF('UFCA - JN'!I779:I786,Criterios!E4,'UFCA - JN'!M779:M786)
+SUMIF('UFCA - JN'!I779:I786,Criterios!E5,'UFCA - JN'!M779:M786)
+SUMIF('UFCA - JN'!I779:I786,Criterios!E6,'UFCA - JN'!M779:M786)
+SUMIF('UFCA - JN'!I779:I786,Criterios!E7,'UFCA - JN'!M779:M786)
+SUMIF('UFCA - JN'!I779:I786,Criterios!E8,'UFCA - JN'!M779:M786)
+SUMIF('UFCA - JN'!I779:I786,Criterios!E9,'UFCA - JN'!M779:M786)</f>
        <v>321.90000000000003</v>
      </c>
      <c r="G22" s="15">
        <f>SUMIF('UFCA - JN'!I779:I786,Criterios!F4,'UFCA - JN'!M779:M786)</f>
        <v>2.36</v>
      </c>
      <c r="H22" s="28">
        <f t="shared" si="0"/>
        <v>406.81000000000006</v>
      </c>
      <c r="K22" s="2">
        <f>SUM('UFCA - JN'!M779:M786)</f>
        <v>406.81</v>
      </c>
      <c r="L22" s="2">
        <f t="shared" si="1"/>
        <v>0</v>
      </c>
      <c r="M22">
        <f>SUMIF('UFCA - JN'!$F$4:$F$825,'TOTAL - JN'!A22,'UFCA - JN'!$M$4:$M$825)</f>
        <v>406.81</v>
      </c>
    </row>
    <row r="23" spans="1:13">
      <c r="A23" s="158" t="s">
        <v>1903</v>
      </c>
      <c r="B23" s="15" t="s">
        <v>100</v>
      </c>
      <c r="C23" s="15" t="s">
        <v>100</v>
      </c>
      <c r="D23" s="15" t="s">
        <v>100</v>
      </c>
      <c r="E23" s="15" t="s">
        <v>100</v>
      </c>
      <c r="F23" s="36">
        <f>SUMIF('UFCA - JN'!I787:I800,Criterios!E4,'UFCA - JN'!M787:M800)
+SUMIF('UFCA - JN'!I787:I800,Criterios!E5,'UFCA - JN'!M787:M800)
+SUMIF('UFCA - JN'!I787:I800,Criterios!E6,'UFCA - JN'!M787:M800)
+SUMIF('UFCA - JN'!I787:I800,Criterios!E7,'UFCA - JN'!M787:M800)
+SUMIF('UFCA - JN'!I787:I800,Criterios!E8,'UFCA - JN'!M787:M800)
+SUMIF('UFCA - JN'!I787:I800,Criterios!E9,'UFCA - JN'!M787:M800)</f>
        <v>3472.25</v>
      </c>
      <c r="G23" s="15" t="s">
        <v>100</v>
      </c>
      <c r="H23" s="28">
        <f t="shared" si="0"/>
        <v>3472.25</v>
      </c>
      <c r="K23" s="2">
        <f>SUM('UFCA - JN'!M787:M800)</f>
        <v>3472.2499999999995</v>
      </c>
      <c r="L23" s="2">
        <f t="shared" si="1"/>
        <v>0</v>
      </c>
      <c r="M23">
        <f>SUMIF('UFCA - JN'!$F$4:$F$825,'TOTAL - JN'!A23,'UFCA - JN'!$M$4:$M$825)</f>
        <v>0</v>
      </c>
    </row>
    <row r="24" spans="1:13">
      <c r="A24" s="158" t="s">
        <v>606</v>
      </c>
      <c r="B24" s="15" t="s">
        <v>100</v>
      </c>
      <c r="C24" s="15">
        <f>'UFCA - JN'!M801</f>
        <v>5.6</v>
      </c>
      <c r="D24" s="15" t="s">
        <v>100</v>
      </c>
      <c r="E24" s="15" t="s">
        <v>100</v>
      </c>
      <c r="F24" s="15"/>
      <c r="G24" s="15">
        <f>'UFCA - JN'!M802</f>
        <v>1.7</v>
      </c>
      <c r="H24" s="28">
        <f t="shared" si="0"/>
        <v>7.3</v>
      </c>
      <c r="K24" s="2">
        <f>SUM('UFCA - JN'!M801:M802)</f>
        <v>7.3</v>
      </c>
      <c r="L24" s="2">
        <f t="shared" si="1"/>
        <v>0</v>
      </c>
      <c r="M24">
        <f>SUMIF('UFCA - JN'!$F$4:$F$825,'TOTAL - JN'!A24,'UFCA - JN'!$M$4:$M$825)</f>
        <v>7.3</v>
      </c>
    </row>
    <row r="25" spans="1:13">
      <c r="A25" s="159" t="s">
        <v>563</v>
      </c>
      <c r="B25" s="33">
        <f t="shared" ref="B25:H25" si="2">SUM(B6:B23)</f>
        <v>13275.739999999996</v>
      </c>
      <c r="C25" s="33">
        <f t="shared" si="2"/>
        <v>1278.52</v>
      </c>
      <c r="D25" s="33">
        <f t="shared" si="2"/>
        <v>1534.17</v>
      </c>
      <c r="E25" s="33">
        <f t="shared" si="2"/>
        <v>555.5</v>
      </c>
      <c r="F25" s="33">
        <f t="shared" si="2"/>
        <v>9732.4199999999983</v>
      </c>
      <c r="G25" s="33">
        <f t="shared" si="2"/>
        <v>1403.23</v>
      </c>
      <c r="H25" s="156">
        <f t="shared" si="2"/>
        <v>27779.579999999998</v>
      </c>
    </row>
    <row r="26" spans="1:13">
      <c r="A26" s="145"/>
      <c r="B26" s="154"/>
      <c r="C26" s="154"/>
      <c r="D26" s="154"/>
      <c r="E26" s="154"/>
      <c r="F26" s="154"/>
      <c r="G26" s="154"/>
      <c r="H26" s="154"/>
    </row>
    <row r="27" spans="1:13" ht="15" customHeight="1">
      <c r="A27" s="160"/>
      <c r="B27" s="160"/>
      <c r="C27" s="160"/>
      <c r="D27" s="160"/>
      <c r="E27" s="160"/>
      <c r="F27"/>
      <c r="G27"/>
      <c r="H27"/>
    </row>
    <row r="28" spans="1:13">
      <c r="A28" s="675" t="s">
        <v>618</v>
      </c>
      <c r="B28" s="675"/>
      <c r="C28" s="675"/>
      <c r="D28" s="675"/>
      <c r="E28" s="675"/>
      <c r="F28" s="147"/>
      <c r="G28"/>
      <c r="H28"/>
    </row>
    <row r="29" spans="1:13">
      <c r="A29" s="717" t="s">
        <v>600</v>
      </c>
      <c r="B29" s="107" t="s">
        <v>601</v>
      </c>
      <c r="C29" s="107" t="s">
        <v>602</v>
      </c>
      <c r="D29" s="108" t="s">
        <v>615</v>
      </c>
      <c r="E29" s="108" t="s">
        <v>619</v>
      </c>
      <c r="F29"/>
      <c r="G29"/>
      <c r="H29"/>
    </row>
    <row r="30" spans="1:13">
      <c r="A30" s="675"/>
      <c r="B30" s="15">
        <f>SUMIF('UFCA - JN'!I805:I823,Criterios!I4,'UFCA - JN'!M805:M823)</f>
        <v>6155.5672000000004</v>
      </c>
      <c r="C30" s="15">
        <f>SUMIF('UFCA - JN'!I805:I823,Criterios!I6,'UFCA - JN'!M805:M823)</f>
        <v>13014.692700000001</v>
      </c>
      <c r="D30" s="15">
        <f>SUMIF('UFCA - JN'!I805:I823,Criterios!I5,'UFCA - JN'!M805:M823)</f>
        <v>10169.327300000001</v>
      </c>
      <c r="E30" s="15">
        <f>SUMIF('UFCA - JN'!I805:I823,Criterios!I7,'UFCA - JN'!M805:M823)</f>
        <v>10876.414500000001</v>
      </c>
      <c r="F30"/>
      <c r="G30"/>
      <c r="H30"/>
      <c r="J30" s="2">
        <f>SUM(B30:H30)</f>
        <v>40216.001700000001</v>
      </c>
      <c r="K30" s="2">
        <f>SUM('UFCA - JN'!M805:M823)</f>
        <v>40216.001700000001</v>
      </c>
      <c r="L30" s="2">
        <f>K30-J30</f>
        <v>0</v>
      </c>
    </row>
    <row r="32" spans="1:13" ht="25.5">
      <c r="A32" s="31"/>
      <c r="B32" s="31" t="s">
        <v>1998</v>
      </c>
      <c r="C32" s="31" t="s">
        <v>1999</v>
      </c>
      <c r="D32" s="31" t="s">
        <v>2000</v>
      </c>
      <c r="E32" s="31" t="s">
        <v>2001</v>
      </c>
    </row>
    <row r="33" spans="1:16">
      <c r="A33" s="31" t="s">
        <v>1997</v>
      </c>
      <c r="B33" s="18">
        <f>'UFCA - Terrenos'!D4</f>
        <v>160000</v>
      </c>
      <c r="C33" s="18">
        <f>TRUNC(SUM('UFCA - edificações'!E4:E27),2)</f>
        <v>34018.46</v>
      </c>
      <c r="D33" s="15">
        <f>SUM(B30:E30)</f>
        <v>40216.001700000001</v>
      </c>
      <c r="E33" s="15">
        <f>TRUNC(B33-C33-D33,2)</f>
        <v>85765.53</v>
      </c>
    </row>
    <row r="36" spans="1:16" ht="15.75" thickBot="1"/>
    <row r="37" spans="1:16">
      <c r="A37" s="689" t="s">
        <v>837</v>
      </c>
      <c r="B37" s="690"/>
      <c r="C37" s="690"/>
      <c r="D37" s="690"/>
      <c r="E37" s="691"/>
      <c r="F37" s="692"/>
      <c r="G37" s="692"/>
      <c r="H37" s="692"/>
      <c r="K37" t="s">
        <v>1908</v>
      </c>
    </row>
    <row r="38" spans="1:16">
      <c r="A38" s="694" t="s">
        <v>618</v>
      </c>
      <c r="B38" s="693"/>
      <c r="C38" s="693"/>
      <c r="D38" s="693"/>
      <c r="E38" s="695"/>
      <c r="F38" s="692"/>
      <c r="G38" s="692"/>
      <c r="H38" s="692"/>
    </row>
    <row r="39" spans="1:16" ht="15.75" thickBot="1">
      <c r="A39" s="659" t="s">
        <v>2504</v>
      </c>
      <c r="B39" s="660"/>
      <c r="C39" s="660"/>
      <c r="D39" s="660"/>
      <c r="E39" s="661"/>
      <c r="F39" s="660"/>
      <c r="G39" s="660"/>
      <c r="H39" s="660"/>
      <c r="P39" t="s">
        <v>1913</v>
      </c>
    </row>
    <row r="40" spans="1:16">
      <c r="A40" s="689" t="s">
        <v>2503</v>
      </c>
      <c r="B40" s="690"/>
      <c r="C40" s="690"/>
      <c r="D40" s="690"/>
      <c r="E40" s="691"/>
      <c r="F40" s="692"/>
      <c r="G40" s="692"/>
      <c r="H40" s="692"/>
      <c r="K40" t="s">
        <v>1908</v>
      </c>
    </row>
    <row r="41" spans="1:16">
      <c r="A41" s="721" t="s">
        <v>70</v>
      </c>
      <c r="B41" s="721" t="s">
        <v>285</v>
      </c>
      <c r="C41" s="721"/>
      <c r="D41" s="721"/>
      <c r="E41" s="721"/>
      <c r="F41" s="721"/>
      <c r="G41" s="721"/>
      <c r="H41" s="722" t="s">
        <v>550</v>
      </c>
    </row>
    <row r="42" spans="1:16" ht="55.5" customHeight="1">
      <c r="A42" s="721"/>
      <c r="B42" s="361" t="s">
        <v>551</v>
      </c>
      <c r="C42" s="361" t="s">
        <v>833</v>
      </c>
      <c r="D42" s="361" t="s">
        <v>1920</v>
      </c>
      <c r="E42" s="361" t="s">
        <v>553</v>
      </c>
      <c r="F42" s="361" t="s">
        <v>1905</v>
      </c>
      <c r="G42" s="361" t="s">
        <v>555</v>
      </c>
      <c r="H42" s="722"/>
    </row>
    <row r="43" spans="1:16">
      <c r="A43" s="26" t="s">
        <v>365</v>
      </c>
      <c r="B43" s="15">
        <f>SUMIFS('UFCA - JN'!M4:M58,'UFCA - JN'!I4:I58,Criterios!A4,
'UFCA - JN'!P4:P58,Criterios!A19)
+SUMIFS('UFCA - JN'!M4:M58,'UFCA - JN'!I4:I58,Criterios!A5,
'UFCA - JN'!P4:P58,Criterios!A19)
+SUMIFS('UFCA - JN'!M4:M58,'UFCA - JN'!I4:I58,Criterios!A6,
'UFCA - JN'!P4:P58,Criterios!A19)
+SUMIFS('UFCA - JN'!M4:M58,'UFCA - JN'!I4:I58,Criterios!A7,
'UFCA - JN'!P4:P58,Criterios!A19)
+SUMIFS('UFCA - JN'!M4:M58,'UFCA - JN'!I4:I58,Criterios!A8,
'UFCA - JN'!P4:P58,Criterios!A19)
+SUMIFS('UFCA - JN'!M4:M58,'UFCA - JN'!I4:I58,Criterios!A9,
'UFCA - JN'!P4:P58,Criterios!A19)
+SUMIFS('UFCA - JN'!M4:M58,'UFCA - JN'!I4:I58,Criterios!A10,
'UFCA - JN'!P4:P58,Criterios!A19)
+SUMIFS('UFCA - JN'!M4:M58,'UFCA - JN'!I4:I58,Criterios!A12,
'UFCA - JN'!P4:P58,Criterios!A19)
+SUMIFS('UFCA - JN'!M4:M58,'UFCA - JN'!I4:I58,Criterios!A13,
'UFCA - JN'!P4:P58,Criterios!A19)
+SUMIFS('UFCA - JN'!M4:M58,'UFCA - JN'!I4:I58,Criterios!A14,
'UFCA - JN'!P4:P58,Criterios!A19)</f>
        <v>842.55</v>
      </c>
      <c r="C43" s="15">
        <f>SUMIFS('UFCA - JN'!M4:M58,'UFCA - JN'!I4:I58,Criterios!B4,
'UFCA - JN'!P4:P58,Criterios!B19)
+SUMIFS('UFCA - JN'!M4:M58,'UFCA - JN'!I4:I58,Criterios!B5,
'UFCA - JN'!P4:P58,Criterios!B19)
+SUMIFS('UFCA - JN'!M4:M58,'UFCA - JN'!I4:I58,Criterios!B8,
'UFCA - JN'!P4:P58,Criterios!B19)
+SUMIFS('UFCA - JN'!M4:M58,'UFCA - JN'!I4:I58,Criterios!A4,
'UFCA - JN'!P4:P58,Criterios!B19)
+SUMIFS('UFCA - JN'!M4:M58,'UFCA - JN'!I4:I58,Criterios!A5,
'UFCA - JN'!P4:P58,Criterios!B19)
+SUMIFS('UFCA - JN'!M4:M58,'UFCA - JN'!I4:I58,Criterios!A6,
'UFCA - JN'!P4:P58,Criterios!B19)
+SUMIFS('UFCA - JN'!M4:M58,'UFCA - JN'!I4:I58,Criterios!A8,
'UFCA - JN'!P4:P58,Criterios!B19)
+SUMIFS('UFCA - JN'!M4:M58,'UFCA - JN'!I4:I58,Criterios!A12,
'UFCA - JN'!P4:P58,Criterios!B19)
+SUMIFS('UFCA - JN'!M4:M58,'UFCA - JN'!I4:I58,Criterios!A13,
'UFCA - JN'!P4:P58,Criterios!B19)
+SUMIFS('UFCA - JN'!M4:M58,'UFCA - JN'!I4:I58,Criterios!A14,
'UFCA - JN'!P4:P58,Criterios!B19)</f>
        <v>24.689999999999998</v>
      </c>
      <c r="D43" s="15">
        <f>SUMIF('UFCA - JN'!I4:I58,Criterios!C4,'UFCA - JN'!M4:M58)</f>
        <v>0</v>
      </c>
      <c r="E43" s="15" t="s">
        <v>100</v>
      </c>
      <c r="F43" s="15">
        <f>SUMIF('UFCA - JN'!I4:I58,Criterios!E4,'UFCA - JN'!M4:M58)
+SUMIF('UFCA - JN'!I4:I58,Criterios!E5,'UFCA - JN'!M4:M58)
+SUMIF('UFCA - JN'!I4:I58,Criterios!E6,'UFCA - JN'!M4:M58)
+SUMIF('UFCA - JN'!I4:I58,Criterios!E7,'UFCA - JN'!M4:M58)
+SUMIF('UFCA - JN'!I4:I58,Criterios!E8,'UFCA - JN'!M4:M58)
+SUMIF('UFCA - JN'!I4:I58,Criterios!E9,'UFCA - JN'!M4:M58)</f>
        <v>294.88</v>
      </c>
      <c r="G43" s="15">
        <f>SUMIF('UFCA - JN'!I4:I58,Criterios!F4,'UFCA - JN'!M4:M58)</f>
        <v>132.80000000000004</v>
      </c>
      <c r="H43" s="28">
        <f t="shared" ref="H43:H61" si="3">SUM(B6:G6)</f>
        <v>1294.9199999999998</v>
      </c>
      <c r="K43">
        <f>SUM('UFCA - JN'!M4:M58)</f>
        <v>1294.9200000000008</v>
      </c>
      <c r="L43" s="2">
        <f t="shared" ref="L43:L61" si="4">K6-H6</f>
        <v>0</v>
      </c>
      <c r="M43">
        <f>SUMIF('UFCA - JN'!$F$4:$F$825,'TOTAL - JN'!A6,'UFCA - JN'!$M$4:$M$825)</f>
        <v>1294.9200000000008</v>
      </c>
    </row>
    <row r="44" spans="1:16">
      <c r="A44" s="116" t="s">
        <v>251</v>
      </c>
      <c r="B44" s="15">
        <f>SUMIFS('UFCA - JN'!M59:M78,'UFCA - JN'!I59:I78,Criterios!A4,
'UFCA - JN'!P59:P78,Criterios!A19)
+SUMIFS('UFCA - JN'!M59:M78,'UFCA - JN'!I59:I78,Criterios!A5,
'UFCA - JN'!P59:P78,Criterios!A19)
+SUMIFS('UFCA - JN'!M59:M78,'UFCA - JN'!I59:I78,Criterios!A6,
'UFCA - JN'!P59:P78,Criterios!A19)
+SUMIFS('UFCA - JN'!M59:M78,'UFCA - JN'!I59:I78,Criterios!A7,
'UFCA - JN'!P59:P78,Criterios!A19)
+SUMIFS('UFCA - JN'!M59:M78,'UFCA - JN'!I59:I78,Criterios!A8,
'UFCA - JN'!P59:P78,Criterios!A19)
+SUMIFS('UFCA - JN'!M59:M78,'UFCA - JN'!I59:I78,Criterios!A9,
'UFCA - JN'!P59:P78,Criterios!A19)
+SUMIFS('UFCA - JN'!M59:M78,'UFCA - JN'!I59:I78,Criterios!A10,
'UFCA - JN'!P59:P78,Criterios!A19)
+SUMIFS('UFCA - JN'!M59:M78,'UFCA - JN'!I59:I78,Criterios!A11,
'UFCA - JN'!P59:P78,Criterios!A19)
+SUMIFS('UFCA - JN'!M59:M78,'UFCA - JN'!I59:I78,Criterios!A12,
'UFCA - JN'!P59:P78,Criterios!A19)
+SUMIFS('UFCA - JN'!M59:M78,'UFCA - JN'!I59:I78,Criterios!A13,
'UFCA - JN'!P59:P78,Criterios!A19)
+SUMIFS('UFCA - JN'!M59:M78,'UFCA - JN'!I59:I78,Criterios!A14,
'UFCA - JN'!P59:P78,Criterios!A19)</f>
        <v>168.75999999999996</v>
      </c>
      <c r="C44" s="15">
        <f>SUMIFS('UFCA - JN'!M59:M78,'UFCA - JN'!I59:I78,Criterios!B4,
'UFCA - JN'!P59:P78,Criterios!B19)
+SUMIFS('UFCA - JN'!M59:M78,'UFCA - JN'!I59:I78,Criterios!B5,
'UFCA - JN'!P59:P78,Criterios!B19)
+SUMIFS('UFCA - JN'!M59:M78,'UFCA - JN'!I59:I78,Criterios!B6,
'UFCA - JN'!P59:P78,Criterios!B19)
+SUMIFS('UFCA - JN'!M59:M78,'UFCA - JN'!I59:I78,Criterios!B7,
'UFCA - JN'!P59:P78,Criterios!B19)
+SUMIFS('UFCA - JN'!M59:M78,'UFCA - JN'!I59:I78,Criterios!B8,
'UFCA - JN'!P59:P78,Criterios!B19)</f>
        <v>8.5</v>
      </c>
      <c r="D44" s="15">
        <f>SUMIF('UFCA - JN'!I59:I78,Criterios!C4,'UFCA - JN'!M59:M78)</f>
        <v>255.77</v>
      </c>
      <c r="E44" s="15" t="s">
        <v>100</v>
      </c>
      <c r="F44" s="15">
        <f>SUMIF('UFCA - JN'!I59:I78,Criterios!E4,'UFCA - JN'!M59:M78)
+SUMIF('UFCA - JN'!I59:I78,Criterios!E5,'UFCA - JN'!M59:M78)
+SUMIF('UFCA - JN'!I59:I78,Criterios!E6,'UFCA - JN'!M59:M78)
+SUMIF('UFCA - JN'!I59:I78,Criterios!E7,'UFCA - JN'!M59:M78)
+SUMIF('UFCA - JN'!I59:I78,Criterios!E8,'UFCA - JN'!M59:M78)
+SUMIF('UFCA - JN'!I59:I78,Criterios!E9,'UFCA - JN'!M59:M78)</f>
        <v>90.58</v>
      </c>
      <c r="G44" s="15">
        <f>SUMIF('UFCA - JN'!I59:I78,Criterios!F4,'UFCA - JN'!M59:M78)</f>
        <v>5</v>
      </c>
      <c r="H44" s="28">
        <f t="shared" si="3"/>
        <v>528.61</v>
      </c>
      <c r="K44" s="2">
        <f>SUM('UFCA - JN'!M59:M78)</f>
        <v>528.61000000000013</v>
      </c>
      <c r="L44" s="2">
        <f t="shared" si="4"/>
        <v>0</v>
      </c>
      <c r="M44">
        <f>SUMIF('UFCA - JN'!$F$4:$F$825,'TOTAL - JN'!A7,'UFCA - JN'!$M$4:$M$825)</f>
        <v>528.61000000000013</v>
      </c>
    </row>
    <row r="45" spans="1:16">
      <c r="A45" s="26" t="s">
        <v>372</v>
      </c>
      <c r="B45" s="15">
        <f>SUMIFS('UFCA - JN'!M79:M124,'UFCA - JN'!I79:I124,Criterios!A4,
'UFCA - JN'!P79:P124,Criterios!A19)
+SUMIFS('UFCA - JN'!M79:M124,'UFCA - JN'!I79:I124,Criterios!A5,
'UFCA - JN'!P79:P124,Criterios!A19)
+SUMIFS('UFCA - JN'!M79:M124,'UFCA - JN'!I79:I124,Criterios!A6,
'UFCA - JN'!P79:P124,Criterios!A19)
+SUMIFS('UFCA - JN'!M79:M124,'UFCA - JN'!I79:I124,Criterios!A7,
'UFCA - JN'!P79:P124,Criterios!A19)
+SUMIFS('UFCA - JN'!M79:M124,'UFCA - JN'!I79:I124,Criterios!A8,
'UFCA - JN'!P79:P124,Criterios!A19)
+SUMIFS('UFCA - JN'!M79:M124,'UFCA - JN'!I79:I124,Criterios!A9,
'UFCA - JN'!P79:P124,Criterios!A19)
+SUMIFS('UFCA - JN'!M79:M124,'UFCA - JN'!I79:I124,Criterios!A10,
'UFCA - JN'!P79:P124,Criterios!A19)
+SUMIFS('UFCA - JN'!M79:M124,'UFCA - JN'!I79:I124,Criterios!A11,
'UFCA - JN'!P79:P124,Criterios!A19)
+SUMIFS('UFCA - JN'!M79:M124,'UFCA - JN'!I79:I124,Criterios!A12,
'UFCA - JN'!P79:P124,Criterios!A19)
+SUMIFS('UFCA - JN'!M79:M124,'UFCA - JN'!I79:I124,Criterios!A13,
'UFCA - JN'!P79:P124,Criterios!A19)
+SUMIFS('UFCA - JN'!M79:M124,'UFCA - JN'!I79:I124,Criterios!A14,
'UFCA - JN'!P79:P124,Criterios!A19)</f>
        <v>842.09999999999991</v>
      </c>
      <c r="C45" s="15">
        <f>SUMIFS('UFCA - JN'!M79:M124,'UFCA - JN'!I79:I124,Criterios!B4,
'UFCA - JN'!P79:P124,Criterios!B19)
+SUMIFS('UFCA - JN'!M79:M124,'UFCA - JN'!I79:I124,Criterios!B5,
'UFCA - JN'!P79:P124,Criterios!B19)
+SUMIFS('UFCA - JN'!M79:M124,'UFCA - JN'!I79:I124,Criterios!B8,
'UFCA - JN'!P79:P124,Criterios!B19)
+SUMIFS('UFCA - JN'!M79:M124,'UFCA - JN'!I79:I124,Criterios!A4,
'UFCA - JN'!P79:P124,Criterios!B19)
+SUMIFS('UFCA - JN'!M79:M124,'UFCA - JN'!I79:I124,Criterios!A5,
'UFCA - JN'!P79:P124,Criterios!B19)
+SUMIFS('UFCA - JN'!M79:M124,'UFCA - JN'!I79:I124,Criterios!A6,
'UFCA - JN'!P79:P124,Criterios!B19)
+SUMIFS('UFCA - JN'!M79:M124,'UFCA - JN'!I79:I124,Criterios!A8,
'UFCA - JN'!P79:P124,Criterios!B19)
+SUMIFS('UFCA - JN'!M79:M124,'UFCA - JN'!I79:I124,Criterios!A11,
'UFCA - JN'!P79:P124,Criterios!B19)
+SUMIFS('UFCA - JN'!M79:M124,'UFCA - JN'!I79:I124,Criterios!A12,
'UFCA - JN'!P79:P124,Criterios!B19)
+SUMIFS('UFCA - JN'!M79:M124,'UFCA - JN'!I79:I124,Criterios!A13,
'UFCA - JN'!P79:P124,Criterios!B19)
+SUMIFS('UFCA - JN'!M79:M124,'UFCA - JN'!I79:I124,Criterios!A14,
'UFCA - JN'!P79:P124,Criterios!B19)</f>
        <v>35.14</v>
      </c>
      <c r="D45" s="15">
        <f>SUMIF('UFCA - JN'!I79:I124,Criterios!C4,'UFCA - JN'!M79:M124)</f>
        <v>0</v>
      </c>
      <c r="E45" s="15" t="s">
        <v>100</v>
      </c>
      <c r="F45" s="15">
        <f>SUMIF('UFCA - JN'!I79:I124,Criterios!E4,'UFCA - JN'!M79:M124)
+SUMIF('UFCA - JN'!I79:I124,Criterios!E5,'UFCA - JN'!M79:M124)
+SUMIF('UFCA - JN'!I79:I124,Criterios!E6,'UFCA - JN'!M79:M124)
+SUMIF('UFCA - JN'!I79:I124,Criterios!E7,'UFCA - JN'!M79:M124)
+SUMIF('UFCA - JN'!I79:I124,Criterios!E8,'UFCA - JN'!M79:M124)
+SUMIF('UFCA - JN'!I79:I124,Criterios!E9,'UFCA - JN'!M79:M124)</f>
        <v>295.41000000000003</v>
      </c>
      <c r="G45" s="15">
        <f>SUMIF('UFCA - JN'!I79:I124,Criterios!F4,'UFCA - JN'!M79:M124)</f>
        <v>132.80000000000004</v>
      </c>
      <c r="H45" s="28">
        <f t="shared" si="3"/>
        <v>1305.4499999999998</v>
      </c>
      <c r="K45">
        <f>SUM('UFCA - JN'!M79:M124)</f>
        <v>1305.45</v>
      </c>
      <c r="L45" s="2">
        <f t="shared" si="4"/>
        <v>0</v>
      </c>
      <c r="M45">
        <f>SUMIF('UFCA - JN'!$F$4:$F$825,'TOTAL - JN'!A8,'UFCA - JN'!$M$4:$M$825)</f>
        <v>1305.45</v>
      </c>
    </row>
    <row r="46" spans="1:16">
      <c r="A46" s="116" t="s">
        <v>255</v>
      </c>
      <c r="B46" s="15">
        <f>SUMIFS('UFCA - JN'!M125:M145,'UFCA - JN'!I125:I145,Criterios!A4,
'UFCA - JN'!P125:P145,Criterios!A19)
+SUMIFS('UFCA - JN'!M125:M145,'UFCA - JN'!I125:I145,Criterios!A5,
'UFCA - JN'!P125:P145,Criterios!A19)
+SUMIFS('UFCA - JN'!M125:M145,'UFCA - JN'!I125:I145,Criterios!A6,
'UFCA - JN'!P125:P145,Criterios!A19)
+SUMIFS('UFCA - JN'!M125:M145,'UFCA - JN'!I125:I145,Criterios!A7,
'UFCA - JN'!P125:P145,Criterios!A19)
+SUMIFS('UFCA - JN'!M125:M145,'UFCA - JN'!I125:I145,Criterios!A8,
'UFCA - JN'!P125:P145,Criterios!A19)
+SUMIFS('UFCA - JN'!M125:M145,'UFCA - JN'!I125:I145,Criterios!A9,
'UFCA - JN'!P125:P145,Criterios!A19)
+SUMIFS('UFCA - JN'!M125:M145,'UFCA - JN'!I125:I145,Criterios!A10,
'UFCA - JN'!P125:P145,Criterios!A19)
+SUMIFS('UFCA - JN'!M125:M145,'UFCA - JN'!I125:I145,Criterios!A11,
'UFCA - JN'!P125:P145,Criterios!A19)
+SUMIFS('UFCA - JN'!M125:M145,'UFCA - JN'!I125:I145,Criterios!A12,
'UFCA - JN'!P125:P145,Criterios!A19)
+SUMIFS('UFCA - JN'!M125:M145,'UFCA - JN'!I125:I145,Criterios!A13,
'UFCA - JN'!P125:P145,Criterios!A19)
+SUMIFS('UFCA - JN'!M125:M145,'UFCA - JN'!I125:I145,Criterios!A14,
'UFCA - JN'!P125:P145,Criterios!A19)</f>
        <v>137.28</v>
      </c>
      <c r="C46" s="15">
        <f>SUMIFS('UFCA - JN'!M125:M145,'UFCA - JN'!I125:I145,Criterios!B4,
'UFCA - JN'!P125:P145,Criterios!B19)
+SUMIFS('UFCA - JN'!M125:M145,'UFCA - JN'!I125:I145,Criterios!B5,
'UFCA - JN'!P125:P145,Criterios!B19)
+SUMIFS('UFCA - JN'!M125:M145,'UFCA - JN'!I125:I145,Criterios!B8,
'UFCA - JN'!P125:P145,Criterios!B19)
+SUMIFS('UFCA - JN'!M125:M145,'UFCA - JN'!I125:I145,Criterios!A4,
'UFCA - JN'!P125:P145,Criterios!B19)
+SUMIFS('UFCA - JN'!M125:M145,'UFCA - JN'!I125:I145,Criterios!A5,
'UFCA - JN'!P125:P145,Criterios!B19)
+SUMIFS('UFCA - JN'!M125:M145,'UFCA - JN'!I125:I145,Criterios!A6,
'UFCA - JN'!P125:P145,Criterios!B19)
+SUMIFS('UFCA - JN'!M125:M145,'UFCA - JN'!I125:I145,Criterios!A8,
'UFCA - JN'!P125:P145,Criterios!B19)
+SUMIFS('UFCA - JN'!M125:M145,'UFCA - JN'!I125:I145,Criterios!A11,
'UFCA - JN'!P125:P145,Criterios!B19)
+SUMIFS('UFCA - JN'!M125:M145,'UFCA - JN'!I125:I145,Criterios!A12,
'UFCA - JN'!P125:P145,Criterios!B19)
+SUMIFS('UFCA - JN'!M125:M145,'UFCA - JN'!I125:I145,Criterios!A13,
'UFCA - JN'!P125:P145,Criterios!B19)
+SUMIFS('UFCA - JN'!M125:M145,'UFCA - JN'!I125:I145,Criterios!A14,
'UFCA - JN'!P125:P145,Criterios!B19)</f>
        <v>35.51</v>
      </c>
      <c r="D46" s="15">
        <f>SUMIF('UFCA - JN'!I125:I145,Criterios!C4,'UFCA - JN'!M125:M145)</f>
        <v>270.39999999999998</v>
      </c>
      <c r="E46" s="15" t="s">
        <v>100</v>
      </c>
      <c r="F46" s="15">
        <f>SUMIF('UFCA - JN'!I125:I145,Criterios!E4,'UFCA - JN'!M125:M145)
+SUMIF('UFCA - JN'!I125:I145,Criterios!E5,'UFCA - JN'!M125:M145)
+SUMIF('UFCA - JN'!I125:I145,Criterios!E6,'UFCA - JN'!M125:M145)
+SUMIF('UFCA - JN'!I125:I145,Criterios!E7,'UFCA - JN'!M125:M145)
+SUMIF('UFCA - JN'!I125:I145,Criterios!E8,'UFCA - JN'!M125:M145)
+SUMIF('UFCA - JN'!I125:I145,Criterios!E9,'UFCA - JN'!M125:M145)</f>
        <v>90.06</v>
      </c>
      <c r="G46" s="15">
        <f>SUMIF('UFCA - JN'!I125:I145,Criterios!F4,'UFCA - JN'!M125:M145)</f>
        <v>4.72</v>
      </c>
      <c r="H46" s="28">
        <f t="shared" si="3"/>
        <v>537.97</v>
      </c>
      <c r="K46" s="2">
        <f>SUM('UFCA - JN'!M125:M145)</f>
        <v>537.97</v>
      </c>
      <c r="L46" s="2">
        <f t="shared" si="4"/>
        <v>0</v>
      </c>
      <c r="M46">
        <f>SUMIF('UFCA - JN'!$F$4:$F$825,'TOTAL - JN'!A9,'UFCA - JN'!$M$4:$M$825)</f>
        <v>537.97</v>
      </c>
    </row>
    <row r="47" spans="1:16">
      <c r="A47" s="26" t="s">
        <v>375</v>
      </c>
      <c r="B47" s="15">
        <f>SUMIFS('UFCA - JN'!M146:M183,'UFCA - JN'!I146:I183,Criterios!B7,
'UFCA - JN'!P146:P183,Criterios!A19)
+SUMIFS('UFCA - JN'!M146:M183,'UFCA - JN'!I146:I183,Criterios!A4,
'UFCA - JN'!P146:P183,Criterios!A19)
+SUMIFS('UFCA - JN'!M146:M183,'UFCA - JN'!I146:I183,Criterios!A5,
'UFCA - JN'!P146:P183,Criterios!A19)
+SUMIFS('UFCA - JN'!M146:M183,'UFCA - JN'!I146:I183,Criterios!A6,
'UFCA - JN'!P146:P183,Criterios!A19)
+SUMIFS('UFCA - JN'!M146:M183,'UFCA - JN'!I146:I183,Criterios!A7,
'UFCA - JN'!P146:P183,Criterios!A19)
+SUMIFS('UFCA - JN'!M146:M183,'UFCA - JN'!I146:I183,Criterios!A8,
'UFCA - JN'!P146:P183,Criterios!A19)
+SUMIFS('UFCA - JN'!M146:M183,'UFCA - JN'!I146:I183,Criterios!A9,
'UFCA - JN'!P146:P183,Criterios!A19)
+SUMIFS('UFCA - JN'!M146:M183,'UFCA - JN'!I146:I183,Criterios!A10,
'UFCA - JN'!P146:P183,Criterios!A19)
+SUMIFS('UFCA - JN'!M146:M183,'UFCA - JN'!I146:I183,Criterios!A11,
'UFCA - JN'!P146:P183,Criterios!A19)
+SUMIFS('UFCA - JN'!M146:M183,'UFCA - JN'!I146:I183,Criterios!A12,
'UFCA - JN'!P146:P183,Criterios!A19)
+SUMIFS('UFCA - JN'!M146:M183,'UFCA - JN'!I146:I183,Criterios!A13,
'UFCA - JN'!P146:P183,Criterios!A19)
+SUMIFS('UFCA - JN'!M146:M183,'UFCA - JN'!I146:I183,Criterios!A14,
'UFCA - JN'!P146:P183,Criterios!A19)</f>
        <v>706.73</v>
      </c>
      <c r="C47" s="15">
        <f>SUMIFS('UFCA - JN'!M146:M183,'UFCA - JN'!I146:I183,Criterios!B4,
'UFCA - JN'!P146:P183,Criterios!B19)
+SUMIFS('UFCA - JN'!M146:M183,'UFCA - JN'!I146:I183,Criterios!B5,
'UFCA - JN'!P146:P183,Criterios!B19)
+SUMIFS('UFCA - JN'!M146:M183,'UFCA - JN'!I146:I183,Criterios!B6,
'UFCA - JN'!P146:P183,Criterios!B19)
+SUMIFS('UFCA - JN'!M146:M183,'UFCA - JN'!I146:I183,Criterios!B7,
'UFCA - JN'!P146:P183,Criterios!B19)
+SUMIFS('UFCA - JN'!M146:M183,'UFCA - JN'!I146:I183,Criterios!B8,
'UFCA - JN'!P146:P183,Criterios!B19)
+SUMIFS('UFCA - JN'!M146:M183,'UFCA - JN'!I146:I183,Criterios!A4,
'UFCA - JN'!P146:P183,Criterios!B19)
+SUMIFS('UFCA - JN'!M146:M183,'UFCA - JN'!I146:I183,Criterios!A5,
'UFCA - JN'!P146:P183,Criterios!B19)
+SUMIFS('UFCA - JN'!M146:M183,'UFCA - JN'!I146:I183,Criterios!A6,
'UFCA - JN'!P146:P183,Criterios!B19)
+SUMIFS('UFCA - JN'!M146:M183,'UFCA - JN'!I146:I183,Criterios!A8,
'UFCA - JN'!P146:P183,Criterios!B19)
+SUMIFS('UFCA - JN'!M146:M183,'UFCA - JN'!I146:I183,Criterios!A11,
'UFCA - JN'!P146:P183,Criterios!B19)
+SUMIFS('UFCA - JN'!M146:M183,'UFCA - JN'!I146:I183,Criterios!A12,
'UFCA - JN'!P146:P183,Criterios!B19)
+SUMIFS('UFCA - JN'!M146:M183,'UFCA - JN'!I146:I183,Criterios!A13,
'UFCA - JN'!P146:P183,Criterios!B19)
+SUMIFS('UFCA - JN'!M146:M183,'UFCA - JN'!I146:I183,Criterios!A14,
'UFCA - JN'!P146:P183,Criterios!B19)</f>
        <v>238.36</v>
      </c>
      <c r="D47" s="15">
        <f>SUMIF('UFCA - JN'!I146:I183,Criterios!C4,'UFCA - JN'!M146:M183)</f>
        <v>0</v>
      </c>
      <c r="E47" s="15" t="s">
        <v>100</v>
      </c>
      <c r="F47" s="15">
        <f>SUMIF('UFCA - JN'!I146:I183,Criterios!E4,'UFCA - JN'!M146:M183)
+SUMIF('UFCA - JN'!I146:I183,Criterios!E5,'UFCA - JN'!M146:M183)
+SUMIF('UFCA - JN'!I146:I183,Criterios!E6,'UFCA - JN'!M146:M183)
+SUMIF('UFCA - JN'!I146:I183,Criterios!E7,'UFCA - JN'!M146:M183)
+SUMIF('UFCA - JN'!I146:I183,Criterios!E8,'UFCA - JN'!M146:M183)
+SUMIF('UFCA - JN'!I146:I183,Criterios!E9,'UFCA - JN'!M146:M183)</f>
        <v>294.09999999999997</v>
      </c>
      <c r="G47" s="15">
        <f>SUMIF('UFCA - JN'!I146:I183,Criterios!F4,'UFCA - JN'!M146:M183)</f>
        <v>62.74</v>
      </c>
      <c r="H47" s="28">
        <f t="shared" si="3"/>
        <v>1301.93</v>
      </c>
      <c r="K47">
        <f>SUM('UFCA - JN'!M146:M183)</f>
        <v>1301.9299999999996</v>
      </c>
      <c r="L47" s="2">
        <f t="shared" si="4"/>
        <v>0</v>
      </c>
      <c r="M47">
        <f>SUMIF('UFCA - JN'!$F$4:$F$825,'TOTAL - JN'!A10,'UFCA - JN'!$M$4:$M$825)</f>
        <v>1301.9299999999996</v>
      </c>
    </row>
    <row r="48" spans="1:16">
      <c r="A48" s="116" t="s">
        <v>260</v>
      </c>
      <c r="B48" s="15">
        <f>SUMIFS('UFCA - JN'!M184:M207,'UFCA - JN'!I184:I207,Criterios!A4,
'UFCA - JN'!P184:P207,Criterios!A19)
+SUMIFS('UFCA - JN'!M184:M207,'UFCA - JN'!I184:I207,Criterios!A5,
'UFCA - JN'!P184:P207,Criterios!A19)
+SUMIFS('UFCA - JN'!M184:M207,'UFCA - JN'!I184:I207,Criterios!A6,
'UFCA - JN'!P184:P207,Criterios!A19)
+SUMIFS('UFCA - JN'!M184:M207,'UFCA - JN'!I184:I207,Criterios!A7,
'UFCA - JN'!P184:P207,Criterios!A19)
+SUMIFS('UFCA - JN'!M184:M207,'UFCA - JN'!I184:I207,Criterios!A8,
'UFCA - JN'!P184:P207,Criterios!A19)
+SUMIFS('UFCA - JN'!M184:M207,'UFCA - JN'!I184:I207,Criterios!A9,
'UFCA - JN'!P184:P207,Criterios!A19)
+SUMIF('UFCA - JN'!I184:I207,Criterios!A12,'UFCA - JN'!M184:M207)
+SUMIF('UFCA - JN'!I184:I207,Criterios!A13,'UFCA - JN'!M184:M207)</f>
        <v>226.13</v>
      </c>
      <c r="C48" s="15">
        <f>SUMIFS('UFCA - JN'!M184:M207,'UFCA - JN'!I184:I207,Criterios!B4,
'UFCA - JN'!P184:P207,Criterios!B19)
+SUMIFS('UFCA - JN'!M184:M207,'UFCA - JN'!I184:I207,Criterios!B5,
'UFCA - JN'!P184:P207,Criterios!B19)
+SUMIFS('UFCA - JN'!M184:M207,'UFCA - JN'!I184:I207,Criterios!B6,
'UFCA - JN'!P184:P207,Criterios!B19)
+SUMIFS('UFCA - JN'!M184:M207,'UFCA - JN'!I184:I207,Criterios!B7,
'UFCA - JN'!P184:P207,Criterios!B19)</f>
        <v>0</v>
      </c>
      <c r="D48" s="15">
        <f>SUMIF('UFCA - JN'!I184:I207,Criterios!C4,'UFCA - JN'!M184:M207)</f>
        <v>417.44</v>
      </c>
      <c r="E48" s="15">
        <f>SUMIF('UFCA - JN'!I184:I207,Criterios!D4,'UFCA - JN'!M184:M207)</f>
        <v>0</v>
      </c>
      <c r="F48" s="15">
        <f>SUMIF('UFCA - JN'!I184:I207,Criterios!E4,'UFCA - JN'!M184:M207)
+SUMIF('UFCA - JN'!I184:I207,Criterios!E5,'UFCA - JN'!M184:M207)
+SUMIF('UFCA - JN'!I184:I207,Criterios!E6,'UFCA - JN'!M184:M207)
+SUMIF('UFCA - JN'!I184:I207,Criterios!E7,'UFCA - JN'!M184:M207)
+SUMIF('UFCA - JN'!I184:I207,Criterios!E8,'UFCA - JN'!M184:M207)
+SUMIF('UFCA - JN'!I184:I207,Criterios!E9,'UFCA - JN'!M184:M207)</f>
        <v>114.56</v>
      </c>
      <c r="G48" s="15">
        <f>SUMIF('UFCA - JN'!I184:I207,Criterios!F4,'UFCA - JN'!M184:M207)</f>
        <v>26</v>
      </c>
      <c r="H48" s="28">
        <f t="shared" si="3"/>
        <v>784.12999999999988</v>
      </c>
      <c r="K48" s="2">
        <f>SUM('UFCA - JN'!M184:M207)</f>
        <v>784.13000000000011</v>
      </c>
      <c r="L48" s="2">
        <f t="shared" si="4"/>
        <v>0</v>
      </c>
      <c r="M48">
        <f>SUMIF('UFCA - JN'!$F$4:$F$825,'TOTAL - JN'!A11,'UFCA - JN'!$M$4:$M$825)</f>
        <v>784.13000000000011</v>
      </c>
    </row>
    <row r="49" spans="1:13">
      <c r="A49" s="157" t="s">
        <v>376</v>
      </c>
      <c r="B49" s="15">
        <f>SUMIFS('UFCA - JN'!M208:M244,'UFCA - JN'!I208:I244,Criterios!A4,
'UFCA - JN'!P208:P244,Criterios!A19)
+SUMIFS('UFCA - JN'!M208:M244,'UFCA - JN'!I208:I244,Criterios!A5,
'UFCA - JN'!P208:P244,Criterios!A19)
+SUMIFS('UFCA - JN'!M208:M244,'UFCA - JN'!I208:I244,Criterios!A6,
'UFCA - JN'!P208:P244,Criterios!A19)
+SUMIFS('UFCA - JN'!M208:M244,'UFCA - JN'!I208:I244,Criterios!A7,
'UFCA - JN'!P208:P244,Criterios!A19)
+SUMIFS('UFCA - JN'!M208:M244,'UFCA - JN'!I208:I244,Criterios!A8,
'UFCA - JN'!P208:P244,Criterios!A19)
+SUMIFS('UFCA - JN'!M208:M244,'UFCA - JN'!I208:I244,Criterios!A9,
'UFCA - JN'!P208:P244,Criterios!A19)
+SUMIFS('UFCA - JN'!M208:M244,'UFCA - JN'!I208:I244,Criterios!A10,
'UFCA - JN'!P208:P244,Criterios!A19)
+SUMIFS('UFCA - JN'!M208:M244,'UFCA - JN'!I208:I244,Criterios!A11,
'UFCA - JN'!P208:P244,Criterios!A19)
+SUMIFS('UFCA - JN'!M208:M244,'UFCA - JN'!I208:I244,Criterios!A12,
'UFCA - JN'!P208:P244,Criterios!A19)
+SUMIFS('UFCA - JN'!M208:M244,'UFCA - JN'!I208:I244,Criterios!A13,
'UFCA - JN'!P208:P244,Criterios!A19)
+SUMIFS('UFCA - JN'!M208:M244,'UFCA - JN'!I208:I244,Criterios!A14,
'UFCA - JN'!P208:P244,Criterios!A19)
+SUMIFS('UFCA - JN'!M208:M244,'UFCA - JN'!I208:I244,Criterios!A4,
'UFCA - JN'!P208:P244,Criterios!A20)
+SUMIFS('UFCA - JN'!M208:M244,'UFCA - JN'!I208:I244,Criterios!A5,
'UFCA - JN'!P208:P244,Criterios!A20)
+SUMIFS('UFCA - JN'!M208:M244,'UFCA - JN'!I208:I244,Criterios!A6,
'UFCA - JN'!P208:P244,Criterios!A20)
+SUMIFS('UFCA - JN'!M208:M244,'UFCA - JN'!I208:I244,Criterios!A7,
'UFCA - JN'!P208:P244,Criterios!A20)
+SUMIFS('UFCA - JN'!M208:M244,'UFCA - JN'!I208:I244,Criterios!A8,
'UFCA - JN'!P208:P244,Criterios!A20)
+SUMIFS('UFCA - JN'!M208:M244,'UFCA - JN'!I208:I244,Criterios!A9,
'UFCA - JN'!P208:P244,Criterios!A20)
+SUMIFS('UFCA - JN'!M208:M244,'UFCA - JN'!I208:I244,Criterios!A10,
'UFCA - JN'!P208:P244,Criterios!A20)
+SUMIFS('UFCA - JN'!M208:M244,'UFCA - JN'!I208:I244,Criterios!A11,
'UFCA - JN'!P208:P244,Criterios!A20)
+SUMIFS('UFCA - JN'!M208:M244,'UFCA - JN'!I208:I244,Criterios!A12,
'UFCA - JN'!P208:P244,Criterios!A20)
+SUMIFS('UFCA - JN'!M208:M244,'UFCA - JN'!I208:I244,Criterios!A13,
'UFCA - JN'!P208:P244,Criterios!A20)
+SUMIFS('UFCA - JN'!M208:M244,'UFCA - JN'!I208:I244,Criterios!A14,
'UFCA - JN'!P208:P244,Criterios!A20)</f>
        <v>916.73</v>
      </c>
      <c r="C49" s="15">
        <f>SUMIFS('UFCA - JN'!M208:M244,'UFCA - JN'!I208:I244,Criterios!B4,
'UFCA - JN'!P208:P244,Criterios!B19)
+SUMIFS('UFCA - JN'!M208:M244,'UFCA - JN'!I208:I244,Criterios!B5,
'UFCA - JN'!P208:P244,Criterios!B19)
+SUMIFS('UFCA - JN'!M208:M244,'UFCA - JN'!I208:I244,Criterios!B6,
'UFCA - JN'!P208:P244,Criterios!B19)
+SUMIFS('UFCA - JN'!M208:M244,'UFCA - JN'!I208:I244,Criterios!B7,
'UFCA - JN'!P208:P244,Criterios!B19)
+SUMIFS('UFCA - JN'!M208:M244,'UFCA - JN'!I208:I244,Criterios!B8,
'UFCA - JN'!P208:P244,Criterios!B19)
+SUMIFS('UFCA - JN'!M208:M244,'UFCA - JN'!I208:I244,Criterios!A4,
'UFCA - JN'!P208:P244,Criterios!B19)
+SUMIFS('UFCA - JN'!M208:M244,'UFCA - JN'!I208:I244,Criterios!A5,
'UFCA - JN'!P208:P244,Criterios!B19)
+SUMIFS('UFCA - JN'!M208:M244,'UFCA - JN'!I208:I244,Criterios!A6,
'UFCA - JN'!P208:P244,Criterios!B19)
+SUMIFS('UFCA - JN'!M208:M244,'UFCA - JN'!I208:I244,Criterios!A8,
'UFCA - JN'!P208:P244,Criterios!B19)
+SUMIFS('UFCA - JN'!M208:M244,'UFCA - JN'!I208:I244,Criterios!A11,
'UFCA - JN'!P208:P244,Criterios!B19)
+SUMIFS('UFCA - JN'!M208:M244,'UFCA - JN'!I208:I244,Criterios!A12,
'UFCA - JN'!P208:P244,Criterios!B19)
+SUMIFS('UFCA - JN'!M208:M244,'UFCA - JN'!I208:I244,Criterios!A13,
'UFCA - JN'!P208:P244,Criterios!B19)
+SUMIFS('UFCA - JN'!M208:M244,'UFCA - JN'!I208:I244,Criterios!A14,
'UFCA - JN'!P208:P244,Criterios!B19)</f>
        <v>402.06000000000006</v>
      </c>
      <c r="D49" s="15">
        <f>SUMIF('UFCA - JN'!I208:I244,Criterios!C4,'UFCA - JN'!M208:M244)</f>
        <v>0</v>
      </c>
      <c r="E49" s="15" t="s">
        <v>100</v>
      </c>
      <c r="F49" s="15">
        <f>SUMIF('UFCA - JN'!I208:I244,Criterios!E4,'UFCA - JN'!M208:M244)
+SUMIF('UFCA - JN'!I208:I244,Criterios!E5,'UFCA - JN'!M208:M244)
+SUMIF('UFCA - JN'!I208:I244,Criterios!E6,'UFCA - JN'!M208:M244)
+SUMIF('UFCA - JN'!I208:I244,Criterios!E7,'UFCA - JN'!M208:M244)
+SUMIF('UFCA - JN'!I208:I244,Criterios!E8,'UFCA - JN'!M208:M244)
+SUMIF('UFCA - JN'!I208:I244,Criterios!E9,'UFCA - JN'!M208:M244)</f>
        <v>347.92</v>
      </c>
      <c r="G49" s="15">
        <f>SUMIF('UFCA - JN'!I208:I244,Criterios!F4,'UFCA - JN'!M208:M244)</f>
        <v>126.84</v>
      </c>
      <c r="H49" s="28">
        <f t="shared" si="3"/>
        <v>1793.55</v>
      </c>
      <c r="K49">
        <f>SUM('UFCA - JN'!M208:M244)</f>
        <v>1793.55</v>
      </c>
      <c r="L49" s="2">
        <f t="shared" si="4"/>
        <v>0</v>
      </c>
      <c r="M49">
        <f>SUMIF('UFCA - JN'!$F$4:$F$825,'TOTAL - JN'!A12,'UFCA - JN'!$M$4:$M$825)</f>
        <v>1793.55</v>
      </c>
    </row>
    <row r="50" spans="1:13">
      <c r="A50" s="26" t="s">
        <v>335</v>
      </c>
      <c r="B50" s="32">
        <f>SUMIFS('UFCA - JN'!M245:M268,'UFCA - JN'!I245:I268,Criterios!A4,
'UFCA - JN'!P245:P268,Criterios!A19)
+SUMIFS('UFCA - JN'!M245:M268,'UFCA - JN'!I245:I268,Criterios!A5,
'UFCA - JN'!P245:P268,Criterios!A19)
+SUMIFS('UFCA - JN'!M245:M268,'UFCA - JN'!I245:I268,Criterios!A6,
'UFCA - JN'!P245:P268,Criterios!A19)
+SUMIFS('UFCA - JN'!M245:M268,'UFCA - JN'!I245:I268,Criterios!A7,
'UFCA - JN'!P245:P268,Criterios!A19)
+SUMIFS('UFCA - JN'!M245:M268,'UFCA - JN'!I245:I268,Criterios!A8,
'UFCA - JN'!P245:P268,Criterios!A19)
+SUMIFS('UFCA - JN'!M245:M268,'UFCA - JN'!I245:I268,Criterios!A9,
'UFCA - JN'!P245:P268,Criterios!A19)
+SUMIF('UFCA - JN'!I245:I268,Criterios!A12,'UFCA - JN'!M245:M268)
+SUMIF('UFCA - JN'!I245:I268,Criterios!A13,'UFCA - JN'!M245:M268)</f>
        <v>200.68</v>
      </c>
      <c r="C50" s="32">
        <f>SUMIFS('UFCA - JN'!M245:M268,'UFCA - JN'!I245:I268,Criterios!B4,
'UFCA - JN'!P245:P268,Criterios!B19)
+SUMIFS('UFCA - JN'!M245:M268,'UFCA - JN'!I245:I268,Criterios!B5,
'UFCA - JN'!P245:P268,Criterios!B19)
+SUMIFS('UFCA - JN'!M245:M268,'UFCA - JN'!I245:I268,Criterios!B6,
'UFCA - JN'!P245:P268,Criterios!B19)
+SUMIFS('UFCA - JN'!M245:M268,'UFCA - JN'!I245:I268,Criterios!B7,
'UFCA - JN'!P245:P268,Criterios!B19)
+SUMIFS('UFCA - JN'!M245:M268,'UFCA - JN'!I245:I268,Criterios!B8,
'UFCA - JN'!P245:P268,Criterios!B19)
+SUMIFS('UFCA - JN'!M245:M268,'UFCA - JN'!I245:I268,Criterios!B4,
'UFCA - JN'!P245:P268,Criterios!B20)
+SUMIFS('UFCA - JN'!M245:M268,'UFCA - JN'!I245:I268,Criterios!B5,
'UFCA - JN'!P245:P268,Criterios!B20)
+SUMIFS('UFCA - JN'!M245:M268,'UFCA - JN'!I245:I268,Criterios!B6,
'UFCA - JN'!P245:P268,Criterios!B20)
+SUMIFS('UFCA - JN'!M245:M268,'UFCA - JN'!I245:I268,Criterios!B7,
'UFCA - JN'!P245:P268,Criterios!B20)
+SUMIFS('UFCA - JN'!M245:M268,'UFCA - JN'!I245:I268,Criterios!B8,
'UFCA - JN'!P245:P268,Criterios!B20)</f>
        <v>443.53</v>
      </c>
      <c r="D50" s="32" t="s">
        <v>100</v>
      </c>
      <c r="E50" s="32" t="s">
        <v>100</v>
      </c>
      <c r="F50" s="32">
        <f>SUMIF('UFCA - JN'!I245:I268,Criterios!E4,'UFCA - JN'!M245:M268)
+SUMIF('UFCA - JN'!I245:I268,Criterios!E5,'UFCA - JN'!M245:M268)
+SUMIF('UFCA - JN'!I245:I268,Criterios!E6,'UFCA - JN'!M245:M268)
+SUMIF('UFCA - JN'!I245:I268,Criterios!E7,'UFCA - JN'!M245:M268)
+SUMIF('UFCA - JN'!I245:I268,Criterios!E8,'UFCA - JN'!M245:M268)
+SUMIF('UFCA - JN'!I245:I268,Criterios!E9,'UFCA - JN'!M245:M268)</f>
        <v>65.84</v>
      </c>
      <c r="G50" s="32">
        <f>SUMIF('UFCA - JN'!I245:I268,Criterios!F4,'UFCA - JN'!M245:M268)</f>
        <v>43.07</v>
      </c>
      <c r="H50" s="155">
        <f t="shared" si="3"/>
        <v>753.12000000000012</v>
      </c>
      <c r="K50">
        <f>SUM('UFCA - JN'!M245:M268)</f>
        <v>753.11999999999989</v>
      </c>
      <c r="L50" s="2">
        <f t="shared" si="4"/>
        <v>0</v>
      </c>
      <c r="M50">
        <f>SUMIF('UFCA - JN'!$F$4:$F$825,'TOTAL - JN'!A13,'UFCA - JN'!$M$4:$M$825)</f>
        <v>753.11999999999989</v>
      </c>
    </row>
    <row r="51" spans="1:13">
      <c r="A51" s="26" t="s">
        <v>387</v>
      </c>
      <c r="B51" s="15">
        <f>SUMIFS('UFCA - JN'!M269:M338,'UFCA - JN'!I269:I338,Criterios!A4,
'UFCA - JN'!P269:P338,Criterios!A19)
+SUMIFS('UFCA - JN'!M269:M338,'UFCA - JN'!I269:I338,Criterios!A5,
'UFCA - JN'!P269:P338,Criterios!A19)
+SUMIFS('UFCA - JN'!M269:M338,'UFCA - JN'!I269:I338,Criterios!A6,
'UFCA - JN'!P269:P338,Criterios!A19)
+SUMIFS('UFCA - JN'!M269:M338,'UFCA - JN'!I269:I338,Criterios!A7,
'UFCA - JN'!P269:P338,Criterios!A19)
+SUMIFS('UFCA - JN'!M269:M338,'UFCA - JN'!I269:I338,Criterios!A8,
'UFCA - JN'!P269:P338,Criterios!A19)
+SUMIFS('UFCA - JN'!M269:M338,'UFCA - JN'!I269:I338,Criterios!A9,
'UFCA - JN'!P269:P338,Criterios!A19)
+SUMIFS('UFCA - JN'!M269:M338,'UFCA - JN'!I269:I338,Criterios!A10,
'UFCA - JN'!P269:P338,Criterios!A19)
+SUMIFS('UFCA - JN'!M269:M338,'UFCA - JN'!I269:I338,Criterios!A11,
'UFCA - JN'!P269:P338,Criterios!A19)
+SUMIFS('UFCA - JN'!M269:M338,'UFCA - JN'!I269:I338,Criterios!A12,
'UFCA - JN'!P269:P338,Criterios!A19)
+SUMIFS('UFCA - JN'!M269:M338,'UFCA - JN'!I269:I338,Criterios!A13,
'UFCA - JN'!P269:P338,Criterios!A19)
+SUMIFS('UFCA - JN'!M269:M338,'UFCA - JN'!I269:I338,Criterios!A14,
'UFCA - JN'!P269:P338,Criterios!A19)
+SUMIFS('UFCA - JN'!M269:M338,'UFCA - JN'!I269:I338,Criterios!A15,
'UFCA - JN'!P269:P338,Criterios!A19)</f>
        <v>2286.4899999999998</v>
      </c>
      <c r="C51" s="15">
        <f>SUMIFS('UFCA - JN'!M269:M338,'UFCA - JN'!I269:I338,Criterios!B4,
'UFCA - JN'!P269:P338,Criterios!B19)
+SUMIFS('UFCA - JN'!M269:M338,'UFCA - JN'!I269:I338,Criterios!B5,
'UFCA - JN'!P269:P338,Criterios!B19)
+SUMIFS('UFCA - JN'!M269:M338,'UFCA - JN'!I269:I338,Criterios!B6,
'UFCA - JN'!P269:P338,Criterios!B19)
+SUMIFS('UFCA - JN'!M269:M338,'UFCA - JN'!I269:I338,Criterios!B8,
'UFCA - JN'!P269:P338,Criterios!B19)
+SUMIFS('UFCA - JN'!M269:M338,'UFCA - JN'!I269:I338,Criterios!A4,
'UFCA - JN'!P269:P338,Criterios!B19)
+SUMIFS('UFCA - JN'!M269:M338,'UFCA - JN'!I269:I338,Criterios!A5,
'UFCA - JN'!P269:P338,Criterios!B19)
+SUMIFS('UFCA - JN'!M269:M338,'UFCA - JN'!I269:I338,Criterios!A6,
'UFCA - JN'!P269:P338,Criterios!B19)
+SUMIFS('UFCA - JN'!M269:M338,'UFCA - JN'!I269:I338,Criterios!A8,
'UFCA - JN'!P269:P338,Criterios!B19)
+SUMIFS('UFCA - JN'!M269:M338,'UFCA - JN'!I269:I338,Criterios!A11,
'UFCA - JN'!P269:P338,Criterios!B19)
+SUMIFS('UFCA - JN'!M269:M338,'UFCA - JN'!I269:I338,Criterios!A12,
'UFCA - JN'!P269:P338,Criterios!B19)
+SUMIFS('UFCA - JN'!M269:M338,'UFCA - JN'!I269:I338,Criterios!A13,
'UFCA - JN'!P269:P338,Criterios!B19)
+SUMIFS('UFCA - JN'!M269:M338,'UFCA - JN'!I269:I338,Criterios!A14,
'UFCA - JN'!P269:P338,Criterios!B19)</f>
        <v>10.48</v>
      </c>
      <c r="D51" s="15" t="s">
        <v>100</v>
      </c>
      <c r="E51" s="15" t="s">
        <v>100</v>
      </c>
      <c r="F51" s="15">
        <f>SUMIF('UFCA - JN'!I269:I338,Criterios!E4,'UFCA - JN'!M269:M338)
+SUMIF('UFCA - JN'!I269:I338,Criterios!E5,'UFCA - JN'!M269:M338)
+SUMIF('UFCA - JN'!I269:I338,Criterios!E6,'UFCA - JN'!M269:M338)
+SUMIF('UFCA - JN'!I269:I338,Criterios!E7,'UFCA - JN'!M269:M338)
+SUMIF('UFCA - JN'!I269:I338,Criterios!E8,'UFCA - JN'!M269:M338)
+SUMIF('UFCA - JN'!I269:I338,Criterios!E9,'UFCA - JN'!M269:M338)</f>
        <v>637.46</v>
      </c>
      <c r="G51" s="15">
        <f>SUMIF('UFCA - JN'!I269:I338,Criterios!F4,'UFCA - JN'!M269:M338)</f>
        <v>133.32</v>
      </c>
      <c r="H51" s="28">
        <f t="shared" si="3"/>
        <v>3067.75</v>
      </c>
      <c r="K51">
        <f>SUM('UFCA - JN'!M269:M338)</f>
        <v>3067.7499999999995</v>
      </c>
      <c r="L51" s="2">
        <f t="shared" si="4"/>
        <v>0</v>
      </c>
      <c r="M51">
        <f>SUMIF('UFCA - JN'!$F$4:$F$825,'TOTAL - JN'!A14,'UFCA - JN'!$M$4:$M$825)</f>
        <v>3067.7499999999995</v>
      </c>
    </row>
    <row r="52" spans="1:13">
      <c r="A52" s="26" t="s">
        <v>359</v>
      </c>
      <c r="B52" s="32">
        <f>SUMIFS('UFCA - JN'!M339:M347,'UFCA - JN'!I339:I347,Criterios!A4,
'UFCA - JN'!P339:P347,Criterios!A19)
+SUMIFS('UFCA - JN'!M339:M347,'UFCA - JN'!I339:I347,Criterios!A5,
'UFCA - JN'!P339:P347,Criterios!A19)
+SUMIFS('UFCA - JN'!M339:M347,'UFCA - JN'!I339:I347,Criterios!A6,
'UFCA - JN'!P339:P347,Criterios!A19)
+SUMIFS('UFCA - JN'!M339:M347,'UFCA - JN'!I339:I347,Criterios!A7,
'UFCA - JN'!P339:P347,Criterios!A19)
+SUMIFS('UFCA - JN'!M339:M347,'UFCA - JN'!I339:I347,Criterios!A8,
'UFCA - JN'!P339:P347,Criterios!A19)
+SUMIFS('UFCA - JN'!M339:M347,'UFCA - JN'!I339:I347,Criterios!A9,
'UFCA - JN'!P339:P347,Criterios!A19)
+SUMIF('UFCA - JN'!I339:I347,Criterios!A12,'UFCA - JN'!M339:M347)
+SUMIF('UFCA - JN'!I339:I347,Criterios!A13,'UFCA - JN'!M339:M347)</f>
        <v>82.22</v>
      </c>
      <c r="C52" s="15" t="s">
        <v>100</v>
      </c>
      <c r="D52" s="15" t="s">
        <v>100</v>
      </c>
      <c r="E52" s="15">
        <f>SUMIF('UFCA - JN'!I339:I347,Criterios!D4,'UFCA - JN'!M339:M347)</f>
        <v>555.5</v>
      </c>
      <c r="F52" s="15">
        <f>SUMIF('UFCA - JN'!I339:I347,Criterios!E4,'UFCA - JN'!M339:M347)
+SUMIF('UFCA - JN'!I339:I347,Criterios!E5,'UFCA - JN'!M339:M347)
+SUMIF('UFCA - JN'!I339:I347,Criterios!E6,'UFCA - JN'!M339:M347)
+SUMIF('UFCA - JN'!I339:I347,Criterios!E7,'UFCA - JN'!M339:M347)
+SUMIF('UFCA - JN'!I339:I347,Criterios!E8,'UFCA - JN'!M339:M347)
+SUMIF('UFCA - JN'!I339:I347,Criterios!E9,'UFCA - JN'!M339:M347)</f>
        <v>138.98000000000002</v>
      </c>
      <c r="G52" s="15" t="s">
        <v>100</v>
      </c>
      <c r="H52" s="28">
        <f t="shared" si="3"/>
        <v>776.7</v>
      </c>
      <c r="K52">
        <f>SUM('UFCA - JN'!M339:M347)</f>
        <v>776.7</v>
      </c>
      <c r="L52" s="2">
        <f t="shared" si="4"/>
        <v>0</v>
      </c>
      <c r="M52">
        <f>SUMIF('UFCA - JN'!$F$4:$F$825,'TOTAL - JN'!A15,'UFCA - JN'!$M$4:$M$825)</f>
        <v>776.7</v>
      </c>
    </row>
    <row r="53" spans="1:13">
      <c r="A53" s="26" t="s">
        <v>398</v>
      </c>
      <c r="B53" s="15">
        <f>SUMIFS('UFCA - JN'!M348:M423,'UFCA - JN'!I348:I423,Criterios!A4,
'UFCA - JN'!P348:P423,Criterios!A19)
+SUMIFS('UFCA - JN'!M348:M423,'UFCA - JN'!I348:I423,Criterios!A5,
'UFCA - JN'!P348:P423,Criterios!A19)
+SUMIFS('UFCA - JN'!M348:M423,'UFCA - JN'!I348:I423,Criterios!A6,
'UFCA - JN'!P348:P423,Criterios!A19)
+SUMIFS('UFCA - JN'!M348:M423,'UFCA - JN'!I348:I423,Criterios!A7,
'UFCA - JN'!P348:P423,Criterios!A19)
+SUMIFS('UFCA - JN'!M348:M423,'UFCA - JN'!I348:I423,Criterios!A8,
'UFCA - JN'!P348:P423,Criterios!A19)
+SUMIFS('UFCA - JN'!M348:M423,'UFCA - JN'!I348:I423,Criterios!A9,
'UFCA - JN'!P348:P423,Criterios!A19)
+SUMIFS('UFCA - JN'!M348:M423,'UFCA - JN'!I348:I423,Criterios!A10,
'UFCA - JN'!P348:P423,Criterios!A19)
+SUMIFS('UFCA - JN'!M348:M423,'UFCA - JN'!I348:I423,Criterios!A11,
'UFCA - JN'!P348:P423,Criterios!A19)
+SUMIFS('UFCA - JN'!M348:M423,'UFCA - JN'!I348:I423,Criterios!A12,
'UFCA - JN'!P348:P423,Criterios!A19)
+SUMIFS('UFCA - JN'!M348:M423,'UFCA - JN'!I348:I423,Criterios!A13,
'UFCA - JN'!P348:P423,Criterios!A19)
+SUMIFS('UFCA - JN'!M348:M423,'UFCA - JN'!I348:I423,Criterios!A14,
'UFCA - JN'!P348:P423,Criterios!A19)
+SUMIFS('UFCA - JN'!M348:M423,'UFCA - JN'!I348:I423,Criterios!A15,
'UFCA - JN'!P348:P423,Criterios!A19)</f>
        <v>2207.9300000000003</v>
      </c>
      <c r="C53" s="15">
        <f>SUMIFS('UFCA - JN'!M348:M423,'UFCA - JN'!I348:I423,Criterios!B4,
'UFCA - JN'!P348:P423,Criterios!B19)
+SUMIFS('UFCA - JN'!M348:M423,'UFCA - JN'!I348:I423,Criterios!B5,
'UFCA - JN'!P348:P423,Criterios!B19)
+SUMIFS('UFCA - JN'!M348:M423,'UFCA - JN'!I348:I423,Criterios!B6,
'UFCA - JN'!P348:P423,Criterios!B19)
+SUMIFS('UFCA - JN'!M348:M423,'UFCA - JN'!I348:I423,Criterios!B7,
'UFCA - JN'!P348:P423,Criterios!B19)
+SUMIFS('UFCA - JN'!M348:M423,'UFCA - JN'!I348:I423,Criterios!B8,
'UFCA - JN'!P348:P423,Criterios!B19)
+SUMIFS('UFCA - JN'!M348:M423,'UFCA - JN'!I348:I423,Criterios!A4,
'UFCA - JN'!P348:P423,Criterios!B19)
+SUMIFS('UFCA - JN'!M348:M423,'UFCA - JN'!I348:I423,Criterios!A5,
'UFCA - JN'!P348:P423,Criterios!B19)
+SUMIFS('UFCA - JN'!M348:M423,'UFCA - JN'!I348:I423,Criterios!A6,
'UFCA - JN'!P348:P423,Criterios!B19)
+SUMIFS('UFCA - JN'!M348:M423,'UFCA - JN'!I348:I423,Criterios!A8,
'UFCA - JN'!P348:P423,Criterios!B19)
+SUMIFS('UFCA - JN'!M348:M423,'UFCA - JN'!I348:I423,Criterios!A11,
'UFCA - JN'!P348:P423,Criterios!B19)
+SUMIFS('UFCA - JN'!M348:M423,'UFCA - JN'!I348:I423,Criterios!A12,
'UFCA - JN'!P348:P423,Criterios!B19)
+SUMIFS('UFCA - JN'!M348:M423,'UFCA - JN'!I348:I423,Criterios!A13,
'UFCA - JN'!P348:P423,Criterios!B19)
+SUMIFS('UFCA - JN'!M348:M423,'UFCA - JN'!I348:I423,Criterios!A14,
'UFCA - JN'!P348:P423,Criterios!B19)</f>
        <v>33.24</v>
      </c>
      <c r="D53" s="15">
        <f>SUMIF('UFCA - JN'!I348:I423,Criterios!C4,'UFCA - JN'!M348:M423)</f>
        <v>0</v>
      </c>
      <c r="E53" s="15" t="s">
        <v>100</v>
      </c>
      <c r="F53" s="15">
        <f>SUMIF('UFCA - JN'!I348:I423,Criterios!E4,'UFCA - JN'!M348:M423)
+SUMIF('UFCA - JN'!I348:I423,Criterios!E5,'UFCA - JN'!M348:M423)
+SUMIF('UFCA - JN'!I348:I423,Criterios!E6,'UFCA - JN'!M348:M423)
+SUMIF('UFCA - JN'!I348:I423,Criterios!E7,'UFCA - JN'!M348:M423)
+SUMIF('UFCA - JN'!I348:I423,Criterios!E8,'UFCA - JN'!M348:M423)
+SUMIF('UFCA - JN'!I348:I423,Criterios!E9,'UFCA - JN'!M348:M423)</f>
        <v>742.83</v>
      </c>
      <c r="G53" s="15">
        <f>SUMIF('UFCA - JN'!I348:I423,Criterios!F4,'UFCA - JN'!M348:M423)</f>
        <v>131.88000000000002</v>
      </c>
      <c r="H53" s="28">
        <f t="shared" si="3"/>
        <v>3115.88</v>
      </c>
      <c r="K53">
        <f>SUM('UFCA - JN'!M348:M423)</f>
        <v>3115.8799999999987</v>
      </c>
      <c r="L53" s="2">
        <f t="shared" si="4"/>
        <v>0</v>
      </c>
      <c r="M53">
        <f>SUMIF('UFCA - JN'!$F$4:$F$825,'TOTAL - JN'!A16,'UFCA - JN'!$M$4:$M$825)</f>
        <v>3115.8799999999987</v>
      </c>
    </row>
    <row r="54" spans="1:13">
      <c r="A54" s="26" t="s">
        <v>444</v>
      </c>
      <c r="B54" s="15">
        <f>SUMIFS('UFCA - JN'!M424:M448,'UFCA - JN'!I424:I448,Criterios!A4,
'UFCA - JN'!P424:P448,Criterios!A19)
+SUMIFS('UFCA - JN'!M424:M448,'UFCA - JN'!I424:I448,Criterios!A5,
'UFCA - JN'!P424:P448,Criterios!A19)
+SUMIFS('UFCA - JN'!M424:M448,'UFCA - JN'!I424:I448,Criterios!A6,
'UFCA - JN'!P424:P448,Criterios!A19)
+SUMIFS('UFCA - JN'!M424:M448,'UFCA - JN'!I424:I448,Criterios!A7,
'UFCA - JN'!P424:P448,Criterios!A19)
+SUMIFS('UFCA - JN'!M424:M448,'UFCA - JN'!I424:I448,Criterios!A8,
'UFCA - JN'!P424:P448,Criterios!A19)
+SUMIFS('UFCA - JN'!M424:M448,'UFCA - JN'!I424:I448,Criterios!A9,
'UFCA - JN'!P424:P448,Criterios!A19)
+SUMIF('UFCA - JN'!I424:I448,Criterios!A12,'UFCA - JN'!M424:M448)
+SUMIF('UFCA - JN'!I424:I448,Criterios!A13,'UFCA - JN'!M424:M448)</f>
        <v>413.15</v>
      </c>
      <c r="C54" s="15">
        <f>SUMIFS('UFCA - JN'!M424:M448,'UFCA - JN'!I424:I448,Criterios!B4,
'UFCA - JN'!P424:P448,Criterios!B19)
+SUMIFS('UFCA - JN'!M424:M448,'UFCA - JN'!I424:I448,Criterios!B5,
'UFCA - JN'!P424:P448,Criterios!B19)
+SUMIFS('UFCA - JN'!M424:M448,'UFCA - JN'!I424:I448,Criterios!B6,
'UFCA - JN'!P424:P448,Criterios!B19)
+SUMIFS('UFCA - JN'!M424:M448,'UFCA - JN'!I424:I448,Criterios!B7,
'UFCA - JN'!P424:P448,Criterios!B19)
+SUMIFS('UFCA - JN'!M424:M448,'UFCA - JN'!I424:I448,Criterios!B8,
'UFCA - JN'!P424:P448,Criterios!B19)
+SUMIFS('UFCA - JN'!M424:M448,'UFCA - JN'!I424:I448,Criterios!B4,
'UFCA - JN'!P424:P448,Criterios!B20)
+SUMIFS('UFCA - JN'!M424:M448,'UFCA - JN'!I424:I448,Criterios!B5,
'UFCA - JN'!P424:P448,Criterios!B20)
+SUMIFS('UFCA - JN'!M424:M448,'UFCA - JN'!I424:I448,Criterios!B6,
'UFCA - JN'!P424:P448,Criterios!B20)
+SUMIFS('UFCA - JN'!M424:M448,'UFCA - JN'!I424:I448,Criterios!B7,
'UFCA - JN'!P424:P448,Criterios!B20)
+SUMIFS('UFCA - JN'!M424:M448,'UFCA - JN'!I424:I448,Criterios!B8,
'UFCA - JN'!P424:P448,Criterios!B20)</f>
        <v>0</v>
      </c>
      <c r="D54" s="15">
        <f>SUMIF('UFCA - JN'!I424:I448,Criterios!C4,'UFCA - JN'!M424:M448)</f>
        <v>130.91999999999999</v>
      </c>
      <c r="E54" s="15" t="s">
        <v>100</v>
      </c>
      <c r="F54" s="15">
        <f>SUMIF('UFCA - JN'!I424:I448,Criterios!E4,'UFCA - JN'!M424:M448)
+SUMIF('UFCA - JN'!I424:I448,Criterios!E5,'UFCA - JN'!M424:M448)
+SUMIF('UFCA - JN'!I424:I448,Criterios!E6,'UFCA - JN'!M424:M448)
+SUMIF('UFCA - JN'!I424:I448,Criterios!E7,'UFCA - JN'!M424:M448)
+SUMIF('UFCA - JN'!I424:I448,Criterios!E8,'UFCA - JN'!M424:M448)
+SUMIF('UFCA - JN'!I424:I448,Criterios!E9,'UFCA - JN'!M424:M448)</f>
        <v>181.64</v>
      </c>
      <c r="G54" s="15">
        <f>SUMIF('UFCA - JN'!I424:I448,Criterios!F4,'UFCA - JN'!M424:M448)</f>
        <v>25.779999999999998</v>
      </c>
      <c r="H54" s="28">
        <f t="shared" si="3"/>
        <v>751.4899999999999</v>
      </c>
      <c r="K54" s="2">
        <f>SUM('UFCA - JN'!M424:M448)</f>
        <v>751.48999999999967</v>
      </c>
      <c r="L54" s="2">
        <f t="shared" si="4"/>
        <v>0</v>
      </c>
      <c r="M54">
        <f>SUMIF('UFCA - JN'!$F$4:$F$825,'TOTAL - JN'!A17,'UFCA - JN'!$M$4:$M$825)</f>
        <v>751.48999999999967</v>
      </c>
    </row>
    <row r="55" spans="1:13">
      <c r="A55" s="26" t="s">
        <v>511</v>
      </c>
      <c r="B55" s="15">
        <f>SUMIFS('UFCA - JN'!M449:M549,'UFCA - JN'!I449:I549,Criterios!A4,
'UFCA - JN'!P449:P549,Criterios!A19)
+SUMIFS('UFCA - JN'!M449:M549,'UFCA - JN'!I449:I549,Criterios!A5,
'UFCA - JN'!P449:P549,Criterios!A19)
+SUMIFS('UFCA - JN'!M449:M549,'UFCA - JN'!I449:I549,Criterios!A6,
'UFCA - JN'!P449:P549,Criterios!A19)
+SUMIFS('UFCA - JN'!M449:M549,'UFCA - JN'!I449:I549,Criterios!A7,
'UFCA - JN'!P449:P549,Criterios!A19)
+SUMIFS('UFCA - JN'!M449:M549,'UFCA - JN'!I449:I549,Criterios!A8,
'UFCA - JN'!P449:P549,Criterios!A19)
+SUMIFS('UFCA - JN'!M449:M549,'UFCA - JN'!I449:I549,Criterios!A9,
'UFCA - JN'!P449:P549,Criterios!A19)
+SUMIFS('UFCA - JN'!M449:M549,'UFCA - JN'!I449:I549,Criterios!A10,
'UFCA - JN'!P449:P549,Criterios!A19)
+SUMIFS('UFCA - JN'!M449:M549,'UFCA - JN'!I449:I549,Criterios!A11,
'UFCA - JN'!P449:P549,Criterios!A19)
+SUMIFS('UFCA - JN'!M449:M549,'UFCA - JN'!I449:I549,Criterios!A12,
'UFCA - JN'!P449:P549,Criterios!A19)
+SUMIFS('UFCA - JN'!M449:M549,'UFCA - JN'!I449:I549,Criterios!A13,
'UFCA - JN'!P449:P549,Criterios!A19)
+SUMIFS('UFCA - JN'!M449:M549,'UFCA - JN'!I449:I549,Criterios!A14,
'UFCA - JN'!P449:P549,Criterios!A19)
+SUMIFS('UFCA - JN'!M449:M549,'UFCA - JN'!I449:I549,Criterios!A15,
'UFCA - JN'!P449:P549,Criterios!A19)</f>
        <v>2167.1699999999996</v>
      </c>
      <c r="C55" s="15">
        <f>SUMIFS('UFCA - JN'!M449:M549,'UFCA - JN'!I449:I549,Criterios!B4,
'UFCA - JN'!P449:P549,Criterios!B19)
+SUMIFS('UFCA - JN'!M449:M549,'UFCA - JN'!I449:I549,Criterios!B5,
'UFCA - JN'!P449:P549,Criterios!B19)
+SUMIFS('UFCA - JN'!M449:M549,'UFCA - JN'!I449:I549,Criterios!B6,
'UFCA - JN'!P449:P549,Criterios!B19)
+SUMIFS('UFCA - JN'!M449:M549,'UFCA - JN'!I449:I549,Criterios!B7,
'UFCA - JN'!P449:P549,Criterios!B19)
+SUMIFS('UFCA - JN'!M449:M549,'UFCA - JN'!I449:I549,Criterios!B8,
'UFCA - JN'!P449:P549,Criterios!B19)
+SUMIFS('UFCA - JN'!M449:M549,'UFCA - JN'!I449:I549,Criterios!A4,
'UFCA - JN'!P449:P549,Criterios!B19)
+SUMIFS('UFCA - JN'!M449:M549,'UFCA - JN'!I449:I549,Criterios!A5,
'UFCA - JN'!P449:P549,Criterios!B19)
+SUMIFS('UFCA - JN'!M449:M549,'UFCA - JN'!I449:I549,Criterios!A6,
'UFCA - JN'!P449:P549,Criterios!B19)
+SUMIFS('UFCA - JN'!M449:M549,'UFCA - JN'!I449:I549,Criterios!A8,
'UFCA - JN'!P449:P549,Criterios!B19)
+SUMIFS('UFCA - JN'!M449:M549,'UFCA - JN'!I449:I549,Criterios!A11,
'UFCA - JN'!P449:P549,Criterios!B19)
+SUMIFS('UFCA - JN'!M449:M549,'UFCA - JN'!I449:I549,Criterios!A12,
'UFCA - JN'!P449:P549,Criterios!B19)
+SUMIFS('UFCA - JN'!M449:M549,'UFCA - JN'!I449:I549,Criterios!A13,
'UFCA - JN'!P449:P549,Criterios!B19)
+SUMIFS('UFCA - JN'!M449:M549,'UFCA - JN'!I449:I549,Criterios!A14,
'UFCA - JN'!P449:P549,Criterios!B19)</f>
        <v>18</v>
      </c>
      <c r="D55" s="15" t="s">
        <v>100</v>
      </c>
      <c r="E55" s="15" t="s">
        <v>100</v>
      </c>
      <c r="F55" s="32">
        <f>SUMIF('UFCA - JN'!I449:I549,Criterios!E4,'UFCA - JN'!M449:M549)
+SUMIF('UFCA - JN'!I449:I549,Criterios!E5,'UFCA - JN'!M449:M549)
+SUMIF('UFCA - JN'!I449:I549,Criterios!E6,'UFCA - JN'!M449:M549)
+SUMIF('UFCA - JN'!I449:I549,Criterios!E7,'UFCA - JN'!M449:M549)
+SUMIF('UFCA - JN'!I449:I549,Criterios!E8,'UFCA - JN'!M449:M549)
+SUMIF('UFCA - JN'!I449:I549,Criterios!E9,'UFCA - JN'!M449:M549)</f>
        <v>601.32000000000005</v>
      </c>
      <c r="G55" s="15">
        <f>SUMIF('UFCA - JN'!I449:I549,Criterios!F4,'UFCA - JN'!M449:M549)</f>
        <v>185.82</v>
      </c>
      <c r="H55" s="28">
        <f t="shared" si="3"/>
        <v>2972.31</v>
      </c>
      <c r="K55">
        <f>SUM('UFCA - JN'!M449:M549)</f>
        <v>2972.3099999999986</v>
      </c>
      <c r="L55" s="2">
        <f t="shared" si="4"/>
        <v>0</v>
      </c>
      <c r="M55">
        <f>SUMIF('UFCA - JN'!$F$4:$F$825,'TOTAL - JN'!A18,'UFCA - JN'!$M$4:$M$825)</f>
        <v>2972.3099999999986</v>
      </c>
    </row>
    <row r="56" spans="1:13">
      <c r="A56" s="26" t="s">
        <v>512</v>
      </c>
      <c r="B56" s="15">
        <f>SUMIFS('UFCA - JN'!M550:M577,'UFCA - JN'!I550:I577,Criterios!A4,
'UFCA - JN'!P550:P577,Criterios!A19)
+SUMIFS('UFCA - JN'!M550:M577,'UFCA - JN'!I550:I577,Criterios!A5,
'UFCA - JN'!P550:P577,Criterios!A19)
+SUMIFS('UFCA - JN'!M550:M577,'UFCA - JN'!I550:I577,Criterios!A6,
'UFCA - JN'!P550:P577,Criterios!A19)
+SUMIFS('UFCA - JN'!M550:M577,'UFCA - JN'!I550:I577,Criterios!A7,
'UFCA - JN'!P550:P577,Criterios!A19)
+SUMIFS('UFCA - JN'!M550:M577,'UFCA - JN'!I550:I577,Criterios!A8,
'UFCA - JN'!P550:P577,Criterios!A19)
+SUMIFS('UFCA - JN'!M550:M577,'UFCA - JN'!I550:I577,Criterios!A9,
'UFCA - JN'!P550:P577,Criterios!A19)</f>
        <v>113.22000000000001</v>
      </c>
      <c r="C56" s="15" t="s">
        <v>100</v>
      </c>
      <c r="D56" s="15">
        <f>SUMIF('UFCA - JN'!I550:I577,Criterios!C4,'UFCA - JN'!M550:M577)</f>
        <v>459.64000000000004</v>
      </c>
      <c r="E56" s="15" t="s">
        <v>100</v>
      </c>
      <c r="F56" s="15">
        <f>SUMIF('UFCA - JN'!I550:I577,Criterios!E4,'UFCA - JN'!M550:M577)
+SUMIF('UFCA - JN'!I550:I577,Criterios!E5,'UFCA - JN'!M550:M577)
+SUMIF('UFCA - JN'!I550:I577,Criterios!E6,'UFCA - JN'!M550:M577)
+SUMIF('UFCA - JN'!I550:I577,Criterios!E7,'UFCA - JN'!M550:M577)
+SUMIF('UFCA - JN'!I550:I577,Criterios!E8,'UFCA - JN'!M550:M577)
+SUMIF('UFCA - JN'!I550:I577,Criterios!E9,'UFCA - JN'!M550:M577)</f>
        <v>147.38999999999999</v>
      </c>
      <c r="G56" s="15">
        <f>SUMIF('UFCA - JN'!I550:I577,Criterios!F4,'UFCA - JN'!M550:M577)</f>
        <v>26.11</v>
      </c>
      <c r="H56" s="28">
        <f t="shared" si="3"/>
        <v>746.36</v>
      </c>
      <c r="K56" s="2">
        <f>SUM('UFCA - JN'!M550:M577)</f>
        <v>746.35999999999967</v>
      </c>
      <c r="L56" s="2">
        <f t="shared" si="4"/>
        <v>0</v>
      </c>
      <c r="M56">
        <f>SUMIF('UFCA - JN'!$F$4:$F$825,'TOTAL - JN'!A19,'UFCA - JN'!$M$4:$M$825)</f>
        <v>746.35999999999967</v>
      </c>
    </row>
    <row r="57" spans="1:13">
      <c r="A57" s="158" t="s">
        <v>1906</v>
      </c>
      <c r="B57" s="15">
        <f>SUMIFS('UFCA - JN'!M578:M760,'UFCA - JN'!I578:I760,Criterios!A4,
'UFCA - JN'!P578:P760,Criterios!A19)
+SUMIFS('UFCA - JN'!M578:M760,'UFCA - JN'!I578:I760,Criterios!A5,
'UFCA - JN'!P578:P760,Criterios!A19)
+SUMIFS('UFCA - JN'!M578:M760,'UFCA - JN'!I578:I760,Criterios!A6,
'UFCA - JN'!P578:P760,Criterios!A19)
+SUMIFS('UFCA - JN'!M578:M760,'UFCA - JN'!I578:I760,Criterios!A7,
'UFCA - JN'!P578:P760,Criterios!A19)
+SUMIFS('UFCA - JN'!M578:M760,'UFCA - JN'!I578:I760,Criterios!A8,
'UFCA - JN'!P578:P760,Criterios!A19)
+SUMIFS('UFCA - JN'!M578:M760,'UFCA - JN'!I578:I760,Criterios!A9,
'UFCA - JN'!P578:P760,Criterios!A19)
+SUMIFS('UFCA - JN'!M578:M760,'UFCA - JN'!I578:I760,Criterios!A10,
'UFCA - JN'!P578:P760,Criterios!A19)
+SUMIFS('UFCA - JN'!M578:M760,'UFCA - JN'!I578:I760,Criterios!A11,
'UFCA - JN'!P578:P760,Criterios!A19)
+SUMIFS('UFCA - JN'!M578:M760,'UFCA - JN'!I578:I760,Criterios!A12,
'UFCA - JN'!P578:P760,Criterios!A19)
+SUMIFS('UFCA - JN'!M578:M760,'UFCA - JN'!I578:I760,Criterios!A13,
'UFCA - JN'!P578:P760,Criterios!A19)
+SUMIFS('UFCA - JN'!M578:M760,'UFCA - JN'!I578:I760,Criterios!A14,
'UFCA - JN'!P578:P760,Criterios!A19)
+SUMIFS('UFCA - JN'!M578:M760,'UFCA - JN'!I578:I760,Criterios!A15,
'UFCA - JN'!P578:P760,Criterios!A19)</f>
        <v>1876.9899999999975</v>
      </c>
      <c r="C57" s="15">
        <f>SUMIFS('UFCA - JN'!M578:M760,'UFCA - JN'!I578:I760,Criterios!B4,
'UFCA - JN'!P578:P760,Criterios!B19)
+SUMIFS('UFCA - JN'!M578:M760,'UFCA - JN'!I578:I760,Criterios!B5,
'UFCA - JN'!P578:P760,Criterios!B19)
+SUMIFS('UFCA - JN'!M578:M760,'UFCA - JN'!I578:I760,Criterios!B6,
'UFCA - JN'!P578:P760,Criterios!B19)
+SUMIFS('UFCA - JN'!M578:M760,'UFCA - JN'!I578:I760,Criterios!B7,
'UFCA - JN'!P578:P760,Criterios!B19)
+SUMIFS('UFCA - JN'!M578:M760,'UFCA - JN'!I578:I760,Criterios!B8,
'UFCA - JN'!P578:P760,Criterios!B19)
+SUMIFS('UFCA - JN'!M578:M760,'UFCA - JN'!I578:I760,Criterios!A4,
'UFCA - JN'!P578:P760,Criterios!B19)
+SUMIFS('UFCA - JN'!M578:M760,'UFCA - JN'!I578:I760,Criterios!A5,
'UFCA - JN'!P578:P760,Criterios!B19)
+SUMIFS('UFCA - JN'!M578:M760,'UFCA - JN'!I578:I760,Criterios!A6,
'UFCA - JN'!P578:P760,Criterios!B19)
+SUMIFS('UFCA - JN'!M578:M760,'UFCA - JN'!I578:I760,Criterios!A8,
'UFCA - JN'!P578:P760,Criterios!B19)
+SUMIFS('UFCA - JN'!M578:M760,'UFCA - JN'!I578:I760,Criterios!A11,
'UFCA - JN'!P578:P760,Criterios!B19)
+SUMIFS('UFCA - JN'!M578:M760,'UFCA - JN'!I578:I760,Criterios!A12,
'UFCA - JN'!P578:P760,Criterios!B19)
+SUMIFS('UFCA - JN'!M578:M760,'UFCA - JN'!I578:I760,Criterios!A13,
'UFCA - JN'!P578:P760,Criterios!B19)
+SUMIFS('UFCA - JN'!M578:M760,'UFCA - JN'!I578:I760,Criterios!A14,
'UFCA - JN'!P578:P760,Criterios!B19)</f>
        <v>29.01</v>
      </c>
      <c r="D57" s="15" t="s">
        <v>100</v>
      </c>
      <c r="E57" s="15" t="s">
        <v>100</v>
      </c>
      <c r="F57" s="15">
        <f>SUMIF('UFCA - JN'!I578:I760,Criterios!E4,'UFCA - JN'!M578:M760)
+SUMIF('UFCA - JN'!I578:I760,Criterios!E5,'UFCA - JN'!M578:M760)
+SUMIF('UFCA - JN'!I578:I760,Criterios!E6,'UFCA - JN'!M578:M760)
+SUMIF('UFCA - JN'!I578:I760,Criterios!E7,'UFCA - JN'!M578:M760)
+SUMIF('UFCA - JN'!I578:I760,Criterios!E8,'UFCA - JN'!M578:M760)
+SUMIF('UFCA - JN'!I578:I760,Criterios!E9,'UFCA - JN'!M578:M760)</f>
        <v>549.55999999999995</v>
      </c>
      <c r="G57" s="15">
        <f>SUMIF('UFCA - JN'!I578:I760,Criterios!F4,'UFCA - JN'!M578:M760)
+SUMIF('UFCA - JN'!I578:I760,Criterios!F8,'UFCA - JN'!M578:M760)</f>
        <v>289.82999999999981</v>
      </c>
      <c r="H57" s="28">
        <f t="shared" si="3"/>
        <v>2745.3899999999976</v>
      </c>
      <c r="K57" s="2">
        <f>SUM('UFCA - JN'!M578:M760)</f>
        <v>2745.3899999999981</v>
      </c>
      <c r="L57" s="2">
        <f t="shared" si="4"/>
        <v>0</v>
      </c>
      <c r="M57">
        <f>SUMIF('UFCA - JN'!$F$4:$F$825,'UFCA - JN'!F594,'UFCA - JN'!$M$4:$M$825)</f>
        <v>2745.3899999999981</v>
      </c>
    </row>
    <row r="58" spans="1:13">
      <c r="A58" s="158" t="s">
        <v>1907</v>
      </c>
      <c r="B58" s="15">
        <f>SUMIF('UFCA - JN'!I761:I778,Criterios!A9,'UFCA - JN'!M761:M778)</f>
        <v>5.0599999999999996</v>
      </c>
      <c r="C58" s="15" t="s">
        <v>100</v>
      </c>
      <c r="D58" s="15" t="s">
        <v>100</v>
      </c>
      <c r="E58" s="15" t="s">
        <v>100</v>
      </c>
      <c r="F58" s="15">
        <f>SUMIF('UFCA - JN'!I761:I778,Criterios!E4,'UFCA - JN'!M761:M778)
+SUMIF('UFCA - JN'!I761:I778,Criterios!E5,'UFCA - JN'!M761:M778)
+SUMIF('UFCA - JN'!I761:I778,Criterios!E6,'UFCA - JN'!M761:M778)
+SUMIF('UFCA - JN'!I761:I778,Criterios!E7,'UFCA - JN'!M761:M778)
+SUMIF('UFCA - JN'!I761:I778,Criterios!E8,'UFCA - JN'!M761:M778)
+SUMIF('UFCA - JN'!I761:I778,Criterios!E9,'UFCA - JN'!M761:M778)</f>
        <v>1345.74</v>
      </c>
      <c r="G58" s="15">
        <f>SUMIF('UFCA - JN'!I761:I778,Criterios!F4,'UFCA - JN'!M761:M778)</f>
        <v>74.16</v>
      </c>
      <c r="H58" s="28">
        <f t="shared" si="3"/>
        <v>1424.96</v>
      </c>
      <c r="K58" s="2">
        <f>SUM('UFCA - JN'!M761:M778)</f>
        <v>1424.9599999999998</v>
      </c>
      <c r="L58" s="2">
        <f t="shared" si="4"/>
        <v>0</v>
      </c>
      <c r="M58">
        <f>SUMIF('UFCA - JN'!$F$4:$F$825,'TOTAL - JN'!A21,'UFCA - JN'!$M$4:$M$825)</f>
        <v>0</v>
      </c>
    </row>
    <row r="59" spans="1:13">
      <c r="A59" s="158" t="s">
        <v>564</v>
      </c>
      <c r="B59" s="15">
        <f>SUMIF('UFCA - JN'!I779:I786,Criterios!A4,'UFCA - JN'!M779:M786)
+SUMIF('UFCA - JN'!I779:I786,Criterios!A9,'UFCA - JN'!M779:M786)
+SUMIF('UFCA - JN'!I779:I786,Criterios!A10,'UFCA - JN'!M779:M786)
+SUMIF('UFCA - JN'!I779:I786,Criterios!A12,'UFCA - JN'!M779:M786)</f>
        <v>82.550000000000011</v>
      </c>
      <c r="C59" s="15" t="s">
        <v>100</v>
      </c>
      <c r="D59" s="15" t="s">
        <v>100</v>
      </c>
      <c r="E59" s="15" t="s">
        <v>100</v>
      </c>
      <c r="F59" s="15">
        <f>SUMIF('UFCA - JN'!I779:I786,Criterios!E4,'UFCA - JN'!M779:M786)
+SUMIF('UFCA - JN'!I779:I786,Criterios!E5,'UFCA - JN'!M779:M786)
+SUMIF('UFCA - JN'!I779:I786,Criterios!E6,'UFCA - JN'!M779:M786)
+SUMIF('UFCA - JN'!I779:I786,Criterios!E7,'UFCA - JN'!M779:M786)
+SUMIF('UFCA - JN'!I779:I786,Criterios!E8,'UFCA - JN'!M779:M786)
+SUMIF('UFCA - JN'!I779:I786,Criterios!E9,'UFCA - JN'!M779:M786)</f>
        <v>321.90000000000003</v>
      </c>
      <c r="G59" s="15">
        <f>SUMIF('UFCA - JN'!I779:I786,Criterios!F4,'UFCA - JN'!M779:M786)</f>
        <v>2.36</v>
      </c>
      <c r="H59" s="28">
        <f t="shared" si="3"/>
        <v>406.81000000000006</v>
      </c>
      <c r="K59" s="2">
        <f>SUM('UFCA - JN'!M779:M786)</f>
        <v>406.81</v>
      </c>
      <c r="L59" s="2">
        <f t="shared" si="4"/>
        <v>0</v>
      </c>
      <c r="M59">
        <f>SUMIF('UFCA - JN'!$F$4:$F$825,'TOTAL - JN'!A22,'UFCA - JN'!$M$4:$M$825)</f>
        <v>406.81</v>
      </c>
    </row>
    <row r="60" spans="1:13">
      <c r="A60" s="158" t="s">
        <v>1903</v>
      </c>
      <c r="B60" s="15" t="s">
        <v>100</v>
      </c>
      <c r="C60" s="15" t="s">
        <v>100</v>
      </c>
      <c r="D60" s="15" t="s">
        <v>100</v>
      </c>
      <c r="E60" s="15" t="s">
        <v>100</v>
      </c>
      <c r="F60" s="15">
        <f>SUMIF('UFCA - JN'!I787:I800,Criterios!E4,'UFCA - JN'!M787:M800)
+SUMIF('UFCA - JN'!I787:I800,Criterios!E5,'UFCA - JN'!M787:M800)
+SUMIF('UFCA - JN'!I787:I800,Criterios!E6,'UFCA - JN'!M787:M800)
+SUMIF('UFCA - JN'!I787:I800,Criterios!E7,'UFCA - JN'!M787:M800)
+SUMIF('UFCA - JN'!I787:I800,Criterios!E8,'UFCA - JN'!M787:M800)
+SUMIF('UFCA - JN'!I787:I800,Criterios!E9,'UFCA - JN'!M787:M800)</f>
        <v>3472.25</v>
      </c>
      <c r="G60" s="15" t="s">
        <v>100</v>
      </c>
      <c r="H60" s="28">
        <f t="shared" si="3"/>
        <v>3472.25</v>
      </c>
      <c r="K60" s="2">
        <f>SUM('UFCA - JN'!M787:M800)</f>
        <v>3472.2499999999995</v>
      </c>
      <c r="L60" s="2">
        <f t="shared" si="4"/>
        <v>0</v>
      </c>
      <c r="M60">
        <f>SUMIF('UFCA - JN'!$F$4:$F$825,'TOTAL - JN'!A23,'UFCA - JN'!$M$4:$M$825)</f>
        <v>0</v>
      </c>
    </row>
    <row r="61" spans="1:13">
      <c r="A61" s="158" t="s">
        <v>606</v>
      </c>
      <c r="B61" s="15" t="s">
        <v>100</v>
      </c>
      <c r="C61" s="15">
        <f>'UFCA - JN'!M801</f>
        <v>5.6</v>
      </c>
      <c r="D61" s="15" t="s">
        <v>100</v>
      </c>
      <c r="E61" s="15" t="s">
        <v>100</v>
      </c>
      <c r="F61" s="15"/>
      <c r="G61" s="15">
        <f>'UFCA - JN'!M802</f>
        <v>1.7</v>
      </c>
      <c r="H61" s="28">
        <f t="shared" si="3"/>
        <v>7.3</v>
      </c>
      <c r="K61" s="2">
        <f>SUM('UFCA - JN'!M801:M802)</f>
        <v>7.3</v>
      </c>
      <c r="L61" s="2">
        <f t="shared" si="4"/>
        <v>0</v>
      </c>
      <c r="M61">
        <f>SUMIF('UFCA - JN'!$F$4:$F$825,'TOTAL - JN'!A24,'UFCA - JN'!$M$4:$M$825)</f>
        <v>7.3</v>
      </c>
    </row>
    <row r="62" spans="1:13">
      <c r="A62" s="465" t="s">
        <v>2369</v>
      </c>
      <c r="B62" s="460">
        <f>SUM('UFCA - JN'!M826:M859)-C62-D62-F62-G62</f>
        <v>953.85999999999967</v>
      </c>
      <c r="C62" s="466">
        <f>SUMIFS('UFCA - JN'!M826:M859,'UFCA - JN'!I826:I859,Criterios!B4,
'UFCA - JN'!P826:P859,Criterios!B19)
+SUMIFS('UFCA - JN'!M826:M859,'UFCA - JN'!I826:I859,Criterios!B5,
'UFCA - JN'!P826:P859,Criterios!B19)
+SUMIFS('UFCA - JN'!M826:M859,'UFCA - JN'!I826:I859,Criterios!B8,
'UFCA - JN'!P826:P859,Criterios!B19)
+SUMIFS('UFCA - JN'!M826:M859,'UFCA - JN'!I826:I859,Criterios!A4,
'UFCA - JN'!P826:P859,Criterios!B19)
+SUMIFS('UFCA - JN'!M826:M859,'UFCA - JN'!I826:I859,Criterios!A5,
'UFCA - JN'!P826:P859,Criterios!B19)
+SUMIFS('UFCA - JN'!M826:M859,'UFCA - JN'!I826:I859,Criterios!A6,
'UFCA - JN'!P826:P859,Criterios!B19)
+SUMIFS('UFCA - JN'!M826:M859,'UFCA - JN'!I826:I859,Criterios!A8,
'UFCA - JN'!P826:P859,Criterios!B19)
+SUMIFS('UFCA - JN'!M826:M859,'UFCA - JN'!I826:I859,Criterios!A12,
'UFCA - JN'!P826:P859,Criterios!B19)
+SUMIFS('UFCA - JN'!M826:M859,'UFCA - JN'!I826:I859,Criterios!A13,
'UFCA - JN'!P826:P859,Criterios!B19)
+SUMIFS('UFCA - JN'!M826:M859,'UFCA - JN'!I826:I859,Criterios!A14,
'UFCA - JN'!P826:P859,Criterios!B19)</f>
        <v>3.02</v>
      </c>
      <c r="D62" s="460">
        <f>SUMIF('UFCA - JN'!I826:I859,Criterios!C4,'UFCA - JN'!M826:M859)</f>
        <v>0</v>
      </c>
      <c r="E62" s="460"/>
      <c r="F62" s="466">
        <f>SUMIF('UFCA - JN'!I826:I859,Criterios!E4,'UFCA - JN'!M826:M859)
+SUMIF('UFCA - JN'!I826:I859,Criterios!E5,'UFCA - JN'!M826:M859)
+SUMIF('UFCA - JN'!I826:I859,Criterios!E6,'UFCA - JN'!M826:M859)
+SUMIF('UFCA - JN'!I826:I859,Criterios!E7,'UFCA - JN'!M826:M859)
+SUMIF('UFCA - JN'!I826:I859,Criterios!E8,'UFCA - JN'!M826:M859)
+SUMIF('UFCA - JN'!I826:I859,Criterios!E9,'UFCA - JN'!M826:M859)</f>
        <v>238.92000000000002</v>
      </c>
      <c r="G62" s="460">
        <f>SUMIF('UFCA - JN'!I826:I859,Criterios!F4,'UFCA - JN'!M826:M859)</f>
        <v>92.56</v>
      </c>
      <c r="H62" s="467">
        <f>SUM(B62:G62)</f>
        <v>1288.3599999999997</v>
      </c>
      <c r="K62" s="2">
        <f>SUM('UFCA - JN'!M826:M859)</f>
        <v>1288.3599999999997</v>
      </c>
      <c r="L62" s="2">
        <f>K62-H62</f>
        <v>0</v>
      </c>
      <c r="M62">
        <f>SUMIF('UFCA - JN'!$F$4:$F$825,'TOTAL - JN'!A62,'UFCA - JN'!$M$4:$M$825)</f>
        <v>0</v>
      </c>
    </row>
    <row r="63" spans="1:13">
      <c r="A63" s="468" t="s">
        <v>2450</v>
      </c>
      <c r="B63" s="460">
        <f>SUM('UFCA - JN'!M874:M888)-C63-D63-F63-G63</f>
        <v>706.10999999999979</v>
      </c>
      <c r="C63" s="466">
        <f>SUMIFS('UFCA - JN'!M874:M888,'UFCA - JN'!I874:I888,Criterios!B4,
'UFCA - JN'!P874:P888,Criterios!B19)
+SUMIFS('UFCA - JN'!M874:M888,'UFCA - JN'!I874:I888,Criterios!B5,
'UFCA - JN'!P874:P888,Criterios!B19)
+SUMIFS('UFCA - JN'!M874:M888,'UFCA - JN'!I874:I888,Criterios!B8,
'UFCA - JN'!P874:P888,Criterios!B19)
+SUMIFS('UFCA - JN'!M874:M888,'UFCA - JN'!I874:I888,Criterios!A4,
'UFCA - JN'!P874:P888,Criterios!B19)
+SUMIFS('UFCA - JN'!M874:M888,'UFCA - JN'!I874:I888,Criterios!A5,
'UFCA - JN'!P874:P888,Criterios!B19)
+SUMIFS('UFCA - JN'!M874:M888,'UFCA - JN'!I874:I888,Criterios!A6,
'UFCA - JN'!P874:P888,Criterios!B19)
+SUMIFS('UFCA - JN'!M874:M888,'UFCA - JN'!I874:I888,Criterios!A8,
'UFCA - JN'!P874:P888,Criterios!B19)
+SUMIFS('UFCA - JN'!M874:M888,'UFCA - JN'!I874:I888,Criterios!A12,
'UFCA - JN'!P874:P888,Criterios!B19)
+SUMIFS('UFCA - JN'!M874:M888,'UFCA - JN'!I874:I888,Criterios!A13,
'UFCA - JN'!P874:P888,Criterios!B19)
+SUMIFS('UFCA - JN'!M874:M888,'UFCA - JN'!I874:I888,Criterios!A14,
'UFCA - JN'!P874:P888,Criterios!B19)</f>
        <v>2.85</v>
      </c>
      <c r="D63" s="460">
        <f>SUMIF('UFCA - JN'!I874:I888,Criterios!C4,'UFCA - JN'!M874:M888)</f>
        <v>0</v>
      </c>
      <c r="E63" s="460"/>
      <c r="F63" s="466">
        <f>SUMIF('UFCA - JN'!I874:I888,Criterios!E4,'UFCA - JN'!M874:M888)
+SUMIF('UFCA - JN'!I874:I888,Criterios!E5,'UFCA - JN'!M874:M888)
+SUMIF('UFCA - JN'!I874:I888,Criterios!E6,'UFCA - JN'!M874:M888)
+SUMIF('UFCA - JN'!I874:I888,Criterios!E7,'UFCA - JN'!M874:M888)
+SUMIF('UFCA - JN'!I874:I888,Criterios!E8,'UFCA - JN'!M874:M888)
+SUMIF('UFCA - JN'!I874:I888,Criterios!E9,'UFCA - JN'!M874:M888)</f>
        <v>23.44</v>
      </c>
      <c r="G63" s="460">
        <f>SUMIF('UFCA - JN'!I874:I888,Criterios!F4,'UFCA - JN'!M874:M888)</f>
        <v>39.65</v>
      </c>
      <c r="H63" s="467">
        <f>SUM(B63:G63)</f>
        <v>772.04999999999984</v>
      </c>
      <c r="K63" s="2">
        <f>SUM('UFCA - JN'!M874:M888)</f>
        <v>772.04999999999984</v>
      </c>
      <c r="L63" s="2">
        <f>K63-H63</f>
        <v>0</v>
      </c>
      <c r="M63">
        <f>SUMIF('UFCA - JN'!$F$4:$F$825,'TOTAL - JN'!A63,'UFCA - JN'!$M$4:$M$825)</f>
        <v>0</v>
      </c>
    </row>
    <row r="64" spans="1:13">
      <c r="A64" s="465" t="s">
        <v>246</v>
      </c>
      <c r="B64" s="460"/>
      <c r="C64" s="460"/>
      <c r="D64" s="460"/>
      <c r="E64" s="460"/>
      <c r="F64" s="460">
        <f>'UFCA - JN'!M889</f>
        <v>338.1</v>
      </c>
      <c r="G64" s="460"/>
      <c r="H64" s="467">
        <f>SUM(B64:G64)</f>
        <v>338.1</v>
      </c>
      <c r="K64" s="2">
        <f>'UFCA - JN'!M889</f>
        <v>338.1</v>
      </c>
      <c r="L64" s="2">
        <f>K64-H64</f>
        <v>0</v>
      </c>
    </row>
    <row r="65" spans="1:16">
      <c r="A65" s="444" t="s">
        <v>563</v>
      </c>
      <c r="B65" s="33">
        <f>TRUNC(SUM(B43:B64),2)</f>
        <v>14935.71</v>
      </c>
      <c r="C65" s="33">
        <f t="shared" ref="C65:H65" si="5">TRUNC(SUM(C43:C64),2)</f>
        <v>1289.99</v>
      </c>
      <c r="D65" s="33">
        <f t="shared" si="5"/>
        <v>1534.17</v>
      </c>
      <c r="E65" s="33">
        <f t="shared" si="5"/>
        <v>555.5</v>
      </c>
      <c r="F65" s="33">
        <f t="shared" si="5"/>
        <v>10332.879999999999</v>
      </c>
      <c r="G65" s="33">
        <f t="shared" si="5"/>
        <v>1537.14</v>
      </c>
      <c r="H65" s="33">
        <f t="shared" si="5"/>
        <v>30185.39</v>
      </c>
    </row>
    <row r="66" spans="1:16">
      <c r="A66" s="145"/>
      <c r="B66" s="154"/>
      <c r="C66" s="154"/>
      <c r="D66" s="154"/>
      <c r="E66" s="154"/>
      <c r="F66" s="154"/>
      <c r="G66" s="154"/>
      <c r="H66" s="154"/>
    </row>
    <row r="67" spans="1:16" ht="15" customHeight="1">
      <c r="A67" s="160"/>
      <c r="B67" s="160"/>
      <c r="C67" s="160"/>
      <c r="D67" s="160"/>
      <c r="E67" s="160"/>
      <c r="F67"/>
      <c r="G67"/>
      <c r="H67"/>
    </row>
    <row r="68" spans="1:16">
      <c r="A68" s="723" t="s">
        <v>618</v>
      </c>
      <c r="B68" s="723"/>
      <c r="C68" s="723"/>
      <c r="D68" s="723"/>
      <c r="E68" s="723"/>
      <c r="F68" s="147"/>
      <c r="G68"/>
      <c r="H68"/>
    </row>
    <row r="69" spans="1:16">
      <c r="A69" s="724" t="s">
        <v>600</v>
      </c>
      <c r="B69" s="445" t="s">
        <v>601</v>
      </c>
      <c r="C69" s="445" t="s">
        <v>602</v>
      </c>
      <c r="D69" s="434" t="s">
        <v>615</v>
      </c>
      <c r="E69" s="434" t="s">
        <v>619</v>
      </c>
      <c r="F69"/>
      <c r="G69"/>
      <c r="H69"/>
    </row>
    <row r="70" spans="1:16">
      <c r="A70" s="723"/>
      <c r="B70" s="15">
        <f>SUMIF('UFCA - JN'!I805:I891,Criterios!I4,'UFCA - JN'!M805:M891)</f>
        <v>7511.9772000000003</v>
      </c>
      <c r="C70" s="15">
        <f>SUMIF('UFCA - JN'!I805:I891,Criterios!I6,'UFCA - JN'!M805:M891)</f>
        <v>15404.362700000001</v>
      </c>
      <c r="D70" s="15">
        <f>SUMIF('UFCA - JN'!I805:I891,Criterios!I5,'UFCA - JN'!M805:M891)</f>
        <v>12437.737300000001</v>
      </c>
      <c r="E70" s="15">
        <f>SUMIF('UFCA - JN'!I805:I891,Criterios!I7,'UFCA - JN'!M805:M891)</f>
        <v>10876.414500000001</v>
      </c>
      <c r="F70"/>
      <c r="G70"/>
      <c r="H70"/>
      <c r="J70" s="2">
        <f>SUM(B70:H70)</f>
        <v>46230.491699999999</v>
      </c>
      <c r="K70" s="2">
        <f>SUM('UFCA - JN'!M860:M871)+SUM('UFCA - JN'!M890:M891)</f>
        <v>6014.49</v>
      </c>
      <c r="L70" s="2">
        <f>K70-J70</f>
        <v>-40216.001700000001</v>
      </c>
    </row>
    <row r="72" spans="1:16" ht="25.5">
      <c r="A72" s="361"/>
      <c r="B72" s="361" t="s">
        <v>1998</v>
      </c>
      <c r="C72" s="361" t="s">
        <v>1999</v>
      </c>
      <c r="D72" s="361" t="s">
        <v>2000</v>
      </c>
      <c r="E72" s="361" t="s">
        <v>2001</v>
      </c>
    </row>
    <row r="73" spans="1:16">
      <c r="A73" s="361" t="s">
        <v>1997</v>
      </c>
      <c r="B73" s="18">
        <f>TRUNC(SUM('UFCA - Terrenos'!D4:D5),2)</f>
        <v>363200</v>
      </c>
      <c r="C73" s="18">
        <f>TRUNC(SUM('UFCA - edificações'!E4:E29),2)</f>
        <v>36611.82</v>
      </c>
      <c r="D73" s="15">
        <f>TRUNC(SUM(B70:E70),2)</f>
        <v>46230.49</v>
      </c>
      <c r="E73" s="15">
        <f>B73-C73-D73</f>
        <v>280357.69</v>
      </c>
    </row>
    <row r="74" spans="1:16" ht="15.75" thickBot="1"/>
    <row r="75" spans="1:16">
      <c r="A75" s="696" t="s">
        <v>837</v>
      </c>
      <c r="B75" s="697"/>
      <c r="C75" s="697"/>
      <c r="D75" s="697"/>
      <c r="E75" s="698"/>
      <c r="F75" s="699"/>
      <c r="G75" s="699"/>
      <c r="H75" s="699"/>
      <c r="K75" t="s">
        <v>1908</v>
      </c>
    </row>
    <row r="76" spans="1:16">
      <c r="A76" s="701" t="s">
        <v>618</v>
      </c>
      <c r="B76" s="700"/>
      <c r="C76" s="700"/>
      <c r="D76" s="700"/>
      <c r="E76" s="702"/>
      <c r="F76" s="699"/>
      <c r="G76" s="699"/>
      <c r="H76" s="699"/>
    </row>
    <row r="77" spans="1:16" ht="15.75" thickBot="1">
      <c r="A77" s="703" t="s">
        <v>2504</v>
      </c>
      <c r="B77" s="704"/>
      <c r="C77" s="704"/>
      <c r="D77" s="704"/>
      <c r="E77" s="705"/>
      <c r="F77" s="704"/>
      <c r="G77" s="704"/>
      <c r="H77" s="704"/>
      <c r="P77" t="s">
        <v>1913</v>
      </c>
    </row>
    <row r="78" spans="1:16">
      <c r="A78" s="696" t="s">
        <v>2507</v>
      </c>
      <c r="B78" s="697"/>
      <c r="C78" s="697"/>
      <c r="D78" s="697"/>
      <c r="E78" s="698"/>
      <c r="F78" s="699"/>
      <c r="G78" s="699"/>
      <c r="H78" s="699"/>
      <c r="K78" t="s">
        <v>1908</v>
      </c>
    </row>
    <row r="79" spans="1:16">
      <c r="A79" s="711" t="s">
        <v>70</v>
      </c>
      <c r="B79" s="711" t="s">
        <v>285</v>
      </c>
      <c r="C79" s="711"/>
      <c r="D79" s="711"/>
      <c r="E79" s="711"/>
      <c r="F79" s="711"/>
      <c r="G79" s="711"/>
      <c r="H79" s="716" t="s">
        <v>550</v>
      </c>
    </row>
    <row r="80" spans="1:16" ht="55.5" customHeight="1">
      <c r="A80" s="711"/>
      <c r="B80" s="428" t="s">
        <v>551</v>
      </c>
      <c r="C80" s="428" t="s">
        <v>833</v>
      </c>
      <c r="D80" s="428" t="s">
        <v>1920</v>
      </c>
      <c r="E80" s="428" t="s">
        <v>553</v>
      </c>
      <c r="F80" s="428" t="s">
        <v>1905</v>
      </c>
      <c r="G80" s="428" t="s">
        <v>555</v>
      </c>
      <c r="H80" s="716"/>
    </row>
    <row r="81" spans="1:13">
      <c r="A81" s="26" t="s">
        <v>365</v>
      </c>
      <c r="B81" s="15">
        <f>SUMIFS('UFCA - JN'!M4:M58,'UFCA - JN'!I4:I58,Criterios!A4,
'UFCA - JN'!P4:P58,Criterios!A19)
+SUMIFS('UFCA - JN'!M4:M58,'UFCA - JN'!I4:I58,Criterios!A5,
'UFCA - JN'!P4:P58,Criterios!A19)
+SUMIFS('UFCA - JN'!M4:M58,'UFCA - JN'!I4:I58,Criterios!A6,
'UFCA - JN'!P4:P58,Criterios!A19)
+SUMIFS('UFCA - JN'!M4:M58,'UFCA - JN'!I4:I58,Criterios!A7,
'UFCA - JN'!P4:P58,Criterios!A19)
+SUMIFS('UFCA - JN'!M4:M58,'UFCA - JN'!I4:I58,Criterios!A8,
'UFCA - JN'!P4:P58,Criterios!A19)
+SUMIFS('UFCA - JN'!M4:M58,'UFCA - JN'!I4:I58,Criterios!A9,
'UFCA - JN'!P4:P58,Criterios!A19)
+SUMIFS('UFCA - JN'!M4:M58,'UFCA - JN'!I4:I58,Criterios!A10,
'UFCA - JN'!P4:P58,Criterios!A19)
+SUMIFS('UFCA - JN'!M4:M58,'UFCA - JN'!I4:I58,Criterios!A12,
'UFCA - JN'!P4:P58,Criterios!A19)
+SUMIFS('UFCA - JN'!M4:M58,'UFCA - JN'!I4:I58,Criterios!A13,
'UFCA - JN'!P4:P58,Criterios!A19)
+SUMIFS('UFCA - JN'!M4:M58,'UFCA - JN'!I4:I58,Criterios!A14,
'UFCA - JN'!P4:P58,Criterios!A19)</f>
        <v>842.55</v>
      </c>
      <c r="C81" s="15">
        <f>SUMIFS('UFCA - JN'!M4:M58,'UFCA - JN'!I4:I58,Criterios!B4,
'UFCA - JN'!P4:P58,Criterios!B19)
+SUMIFS('UFCA - JN'!M4:M58,'UFCA - JN'!I4:I58,Criterios!B5,
'UFCA - JN'!P4:P58,Criterios!B19)
+SUMIFS('UFCA - JN'!M4:M58,'UFCA - JN'!I4:I58,Criterios!B8,
'UFCA - JN'!P4:P58,Criterios!B19)
+SUMIFS('UFCA - JN'!M4:M58,'UFCA - JN'!I4:I58,Criterios!A4,
'UFCA - JN'!P4:P58,Criterios!B19)
+SUMIFS('UFCA - JN'!M4:M58,'UFCA - JN'!I4:I58,Criterios!A5,
'UFCA - JN'!P4:P58,Criterios!B19)
+SUMIFS('UFCA - JN'!M4:M58,'UFCA - JN'!I4:I58,Criterios!A6,
'UFCA - JN'!P4:P58,Criterios!B19)
+SUMIFS('UFCA - JN'!M4:M58,'UFCA - JN'!I4:I58,Criterios!A8,
'UFCA - JN'!P4:P58,Criterios!B19)
+SUMIFS('UFCA - JN'!M4:M58,'UFCA - JN'!I4:I58,Criterios!A12,
'UFCA - JN'!P4:P58,Criterios!B19)
+SUMIFS('UFCA - JN'!M4:M58,'UFCA - JN'!I4:I58,Criterios!A13,
'UFCA - JN'!P4:P58,Criterios!B19)
+SUMIFS('UFCA - JN'!M4:M58,'UFCA - JN'!I4:I58,Criterios!A14,
'UFCA - JN'!P4:P58,Criterios!B19)</f>
        <v>24.689999999999998</v>
      </c>
      <c r="D81" s="15">
        <f>SUMIF('UFCA - JN'!I4:I58,Criterios!C4,'UFCA - JN'!M4:M58)</f>
        <v>0</v>
      </c>
      <c r="E81" s="15" t="s">
        <v>100</v>
      </c>
      <c r="F81" s="15">
        <f>SUMIF('UFCA - JN'!I4:I58,Criterios!E4,'UFCA - JN'!M4:M58)
+SUMIF('UFCA - JN'!I4:I58,Criterios!E5,'UFCA - JN'!M4:M58)
+SUMIF('UFCA - JN'!I4:I58,Criterios!E6,'UFCA - JN'!M4:M58)
+SUMIF('UFCA - JN'!I4:I58,Criterios!E7,'UFCA - JN'!M4:M58)
+SUMIF('UFCA - JN'!I4:I58,Criterios!E8,'UFCA - JN'!M4:M58)
+SUMIF('UFCA - JN'!I4:I58,Criterios!E9,'UFCA - JN'!M4:M58)</f>
        <v>294.88</v>
      </c>
      <c r="G81" s="15">
        <f>SUMIF('UFCA - JN'!I4:I58,Criterios!F4,'UFCA - JN'!M4:M58)</f>
        <v>132.80000000000004</v>
      </c>
      <c r="H81" s="28">
        <f t="shared" ref="H81:H99" si="6">SUM(B6:G6)</f>
        <v>1294.9199999999998</v>
      </c>
      <c r="K81">
        <f>SUM('UFCA - JN'!M4:M58)</f>
        <v>1294.9200000000008</v>
      </c>
      <c r="L81" s="2">
        <f t="shared" ref="L81:L99" si="7">K6-H6</f>
        <v>0</v>
      </c>
      <c r="M81">
        <f>SUMIF('UFCA - JN'!$F$4:$F$825,'TOTAL - JN'!A6,'UFCA - JN'!$M$4:$M$825)</f>
        <v>1294.9200000000008</v>
      </c>
    </row>
    <row r="82" spans="1:13">
      <c r="A82" s="116" t="s">
        <v>251</v>
      </c>
      <c r="B82" s="15">
        <f>SUMIFS('UFCA - JN'!M59:M78,'UFCA - JN'!I59:I78,Criterios!A4,
'UFCA - JN'!P59:P78,Criterios!A19)
+SUMIFS('UFCA - JN'!M59:M78,'UFCA - JN'!I59:I78,Criterios!A5,
'UFCA - JN'!P59:P78,Criterios!A19)
+SUMIFS('UFCA - JN'!M59:M78,'UFCA - JN'!I59:I78,Criterios!A6,
'UFCA - JN'!P59:P78,Criterios!A19)
+SUMIFS('UFCA - JN'!M59:M78,'UFCA - JN'!I59:I78,Criterios!A7,
'UFCA - JN'!P59:P78,Criterios!A19)
+SUMIFS('UFCA - JN'!M59:M78,'UFCA - JN'!I59:I78,Criterios!A8,
'UFCA - JN'!P59:P78,Criterios!A19)
+SUMIFS('UFCA - JN'!M59:M78,'UFCA - JN'!I59:I78,Criterios!A9,
'UFCA - JN'!P59:P78,Criterios!A19)
+SUMIFS('UFCA - JN'!M59:M78,'UFCA - JN'!I59:I78,Criterios!A10,
'UFCA - JN'!P59:P78,Criterios!A19)
+SUMIFS('UFCA - JN'!M59:M78,'UFCA - JN'!I59:I78,Criterios!A11,
'UFCA - JN'!P59:P78,Criterios!A19)
+SUMIFS('UFCA - JN'!M59:M78,'UFCA - JN'!I59:I78,Criterios!A12,
'UFCA - JN'!P59:P78,Criterios!A19)
+SUMIFS('UFCA - JN'!M59:M78,'UFCA - JN'!I59:I78,Criterios!A13,
'UFCA - JN'!P59:P78,Criterios!A19)
+SUMIFS('UFCA - JN'!M59:M78,'UFCA - JN'!I59:I78,Criterios!A14,
'UFCA - JN'!P59:P78,Criterios!A19)</f>
        <v>168.75999999999996</v>
      </c>
      <c r="C82" s="15">
        <f>SUMIFS('UFCA - JN'!M59:M78,'UFCA - JN'!I59:I78,Criterios!B4,
'UFCA - JN'!P59:P78,Criterios!B19)
+SUMIFS('UFCA - JN'!M59:M78,'UFCA - JN'!I59:I78,Criterios!B5,
'UFCA - JN'!P59:P78,Criterios!B19)
+SUMIFS('UFCA - JN'!M59:M78,'UFCA - JN'!I59:I78,Criterios!B6,
'UFCA - JN'!P59:P78,Criterios!B19)
+SUMIFS('UFCA - JN'!M59:M78,'UFCA - JN'!I59:I78,Criterios!B7,
'UFCA - JN'!P59:P78,Criterios!B19)
+SUMIFS('UFCA - JN'!M59:M78,'UFCA - JN'!I59:I78,Criterios!B8,
'UFCA - JN'!P59:P78,Criterios!B19)</f>
        <v>8.5</v>
      </c>
      <c r="D82" s="15">
        <f>SUMIF('UFCA - JN'!I59:I78,Criterios!C4,'UFCA - JN'!M59:M78)</f>
        <v>255.77</v>
      </c>
      <c r="E82" s="15" t="s">
        <v>100</v>
      </c>
      <c r="F82" s="15">
        <f>SUMIF('UFCA - JN'!I59:I78,Criterios!E4,'UFCA - JN'!M59:M78)
+SUMIF('UFCA - JN'!I59:I78,Criterios!E5,'UFCA - JN'!M59:M78)
+SUMIF('UFCA - JN'!I59:I78,Criterios!E6,'UFCA - JN'!M59:M78)
+SUMIF('UFCA - JN'!I59:I78,Criterios!E7,'UFCA - JN'!M59:M78)
+SUMIF('UFCA - JN'!I59:I78,Criterios!E8,'UFCA - JN'!M59:M78)
+SUMIF('UFCA - JN'!I59:I78,Criterios!E9,'UFCA - JN'!M59:M78)</f>
        <v>90.58</v>
      </c>
      <c r="G82" s="15">
        <f>SUMIF('UFCA - JN'!I59:I78,Criterios!F4,'UFCA - JN'!M59:M78)</f>
        <v>5</v>
      </c>
      <c r="H82" s="28">
        <f t="shared" si="6"/>
        <v>528.61</v>
      </c>
      <c r="K82" s="2">
        <f>SUM('UFCA - JN'!M59:M78)</f>
        <v>528.61000000000013</v>
      </c>
      <c r="L82" s="2">
        <f t="shared" si="7"/>
        <v>0</v>
      </c>
      <c r="M82">
        <f>SUMIF('UFCA - JN'!$F$4:$F$825,'TOTAL - JN'!A7,'UFCA - JN'!$M$4:$M$825)</f>
        <v>528.61000000000013</v>
      </c>
    </row>
    <row r="83" spans="1:13">
      <c r="A83" s="26" t="s">
        <v>372</v>
      </c>
      <c r="B83" s="15">
        <f>SUMIFS('UFCA - JN'!M79:M124,'UFCA - JN'!I79:I124,Criterios!A4,
'UFCA - JN'!P79:P124,Criterios!A19)
+SUMIFS('UFCA - JN'!M79:M124,'UFCA - JN'!I79:I124,Criterios!A5,
'UFCA - JN'!P79:P124,Criterios!A19)
+SUMIFS('UFCA - JN'!M79:M124,'UFCA - JN'!I79:I124,Criterios!A6,
'UFCA - JN'!P79:P124,Criterios!A19)
+SUMIFS('UFCA - JN'!M79:M124,'UFCA - JN'!I79:I124,Criterios!A7,
'UFCA - JN'!P79:P124,Criterios!A19)
+SUMIFS('UFCA - JN'!M79:M124,'UFCA - JN'!I79:I124,Criterios!A8,
'UFCA - JN'!P79:P124,Criterios!A19)
+SUMIFS('UFCA - JN'!M79:M124,'UFCA - JN'!I79:I124,Criterios!A9,
'UFCA - JN'!P79:P124,Criterios!A19)
+SUMIFS('UFCA - JN'!M79:M124,'UFCA - JN'!I79:I124,Criterios!A10,
'UFCA - JN'!P79:P124,Criterios!A19)
+SUMIFS('UFCA - JN'!M79:M124,'UFCA - JN'!I79:I124,Criterios!A11,
'UFCA - JN'!P79:P124,Criterios!A19)
+SUMIFS('UFCA - JN'!M79:M124,'UFCA - JN'!I79:I124,Criterios!A12,
'UFCA - JN'!P79:P124,Criterios!A19)
+SUMIFS('UFCA - JN'!M79:M124,'UFCA - JN'!I79:I124,Criterios!A13,
'UFCA - JN'!P79:P124,Criterios!A19)
+SUMIFS('UFCA - JN'!M79:M124,'UFCA - JN'!I79:I124,Criterios!A14,
'UFCA - JN'!P79:P124,Criterios!A19)</f>
        <v>842.09999999999991</v>
      </c>
      <c r="C83" s="15">
        <f>SUMIFS('UFCA - JN'!M79:M124,'UFCA - JN'!I79:I124,Criterios!B4,
'UFCA - JN'!P79:P124,Criterios!B19)
+SUMIFS('UFCA - JN'!M79:M124,'UFCA - JN'!I79:I124,Criterios!B5,
'UFCA - JN'!P79:P124,Criterios!B19)
+SUMIFS('UFCA - JN'!M79:M124,'UFCA - JN'!I79:I124,Criterios!B8,
'UFCA - JN'!P79:P124,Criterios!B19)
+SUMIFS('UFCA - JN'!M79:M124,'UFCA - JN'!I79:I124,Criterios!A4,
'UFCA - JN'!P79:P124,Criterios!B19)
+SUMIFS('UFCA - JN'!M79:M124,'UFCA - JN'!I79:I124,Criterios!A5,
'UFCA - JN'!P79:P124,Criterios!B19)
+SUMIFS('UFCA - JN'!M79:M124,'UFCA - JN'!I79:I124,Criterios!A6,
'UFCA - JN'!P79:P124,Criterios!B19)
+SUMIFS('UFCA - JN'!M79:M124,'UFCA - JN'!I79:I124,Criterios!A8,
'UFCA - JN'!P79:P124,Criterios!B19)
+SUMIFS('UFCA - JN'!M79:M124,'UFCA - JN'!I79:I124,Criterios!A11,
'UFCA - JN'!P79:P124,Criterios!B19)
+SUMIFS('UFCA - JN'!M79:M124,'UFCA - JN'!I79:I124,Criterios!A12,
'UFCA - JN'!P79:P124,Criterios!B19)
+SUMIFS('UFCA - JN'!M79:M124,'UFCA - JN'!I79:I124,Criterios!A13,
'UFCA - JN'!P79:P124,Criterios!B19)
+SUMIFS('UFCA - JN'!M79:M124,'UFCA - JN'!I79:I124,Criterios!A14,
'UFCA - JN'!P79:P124,Criterios!B19)</f>
        <v>35.14</v>
      </c>
      <c r="D83" s="15">
        <f>SUMIF('UFCA - JN'!I79:I124,Criterios!C4,'UFCA - JN'!M79:M124)</f>
        <v>0</v>
      </c>
      <c r="E83" s="15" t="s">
        <v>100</v>
      </c>
      <c r="F83" s="15">
        <f>SUMIF('UFCA - JN'!I79:I124,Criterios!E4,'UFCA - JN'!M79:M124)
+SUMIF('UFCA - JN'!I79:I124,Criterios!E5,'UFCA - JN'!M79:M124)
+SUMIF('UFCA - JN'!I79:I124,Criterios!E6,'UFCA - JN'!M79:M124)
+SUMIF('UFCA - JN'!I79:I124,Criterios!E7,'UFCA - JN'!M79:M124)
+SUMIF('UFCA - JN'!I79:I124,Criterios!E8,'UFCA - JN'!M79:M124)
+SUMIF('UFCA - JN'!I79:I124,Criterios!E9,'UFCA - JN'!M79:M124)</f>
        <v>295.41000000000003</v>
      </c>
      <c r="G83" s="15">
        <f>SUMIF('UFCA - JN'!I79:I124,Criterios!F4,'UFCA - JN'!M79:M124)</f>
        <v>132.80000000000004</v>
      </c>
      <c r="H83" s="28">
        <f t="shared" si="6"/>
        <v>1305.4499999999998</v>
      </c>
      <c r="K83">
        <f>SUM('UFCA - JN'!M79:M124)</f>
        <v>1305.45</v>
      </c>
      <c r="L83" s="2">
        <f t="shared" si="7"/>
        <v>0</v>
      </c>
      <c r="M83">
        <f>SUMIF('UFCA - JN'!$F$4:$F$825,'TOTAL - JN'!A8,'UFCA - JN'!$M$4:$M$825)</f>
        <v>1305.45</v>
      </c>
    </row>
    <row r="84" spans="1:13">
      <c r="A84" s="116" t="s">
        <v>255</v>
      </c>
      <c r="B84" s="15">
        <f>SUMIFS('UFCA - JN'!M125:M145,'UFCA - JN'!I125:I145,Criterios!A4,
'UFCA - JN'!P125:P145,Criterios!A19)
+SUMIFS('UFCA - JN'!M125:M145,'UFCA - JN'!I125:I145,Criterios!A5,
'UFCA - JN'!P125:P145,Criterios!A19)
+SUMIFS('UFCA - JN'!M125:M145,'UFCA - JN'!I125:I145,Criterios!A6,
'UFCA - JN'!P125:P145,Criterios!A19)
+SUMIFS('UFCA - JN'!M125:M145,'UFCA - JN'!I125:I145,Criterios!A7,
'UFCA - JN'!P125:P145,Criterios!A19)
+SUMIFS('UFCA - JN'!M125:M145,'UFCA - JN'!I125:I145,Criterios!A8,
'UFCA - JN'!P125:P145,Criterios!A19)
+SUMIFS('UFCA - JN'!M125:M145,'UFCA - JN'!I125:I145,Criterios!A9,
'UFCA - JN'!P125:P145,Criterios!A19)
+SUMIFS('UFCA - JN'!M125:M145,'UFCA - JN'!I125:I145,Criterios!A10,
'UFCA - JN'!P125:P145,Criterios!A19)
+SUMIFS('UFCA - JN'!M125:M145,'UFCA - JN'!I125:I145,Criterios!A11,
'UFCA - JN'!P125:P145,Criterios!A19)
+SUMIFS('UFCA - JN'!M125:M145,'UFCA - JN'!I125:I145,Criterios!A12,
'UFCA - JN'!P125:P145,Criterios!A19)
+SUMIFS('UFCA - JN'!M125:M145,'UFCA - JN'!I125:I145,Criterios!A13,
'UFCA - JN'!P125:P145,Criterios!A19)
+SUMIFS('UFCA - JN'!M125:M145,'UFCA - JN'!I125:I145,Criterios!A14,
'UFCA - JN'!P125:P145,Criterios!A19)</f>
        <v>137.28</v>
      </c>
      <c r="C84" s="15">
        <f>SUMIFS('UFCA - JN'!M125:M145,'UFCA - JN'!I125:I145,Criterios!B4,
'UFCA - JN'!P125:P145,Criterios!B19)
+SUMIFS('UFCA - JN'!M125:M145,'UFCA - JN'!I125:I145,Criterios!B5,
'UFCA - JN'!P125:P145,Criterios!B19)
+SUMIFS('UFCA - JN'!M125:M145,'UFCA - JN'!I125:I145,Criterios!B8,
'UFCA - JN'!P125:P145,Criterios!B19)
+SUMIFS('UFCA - JN'!M125:M145,'UFCA - JN'!I125:I145,Criterios!A4,
'UFCA - JN'!P125:P145,Criterios!B19)
+SUMIFS('UFCA - JN'!M125:M145,'UFCA - JN'!I125:I145,Criterios!A5,
'UFCA - JN'!P125:P145,Criterios!B19)
+SUMIFS('UFCA - JN'!M125:M145,'UFCA - JN'!I125:I145,Criterios!A6,
'UFCA - JN'!P125:P145,Criterios!B19)
+SUMIFS('UFCA - JN'!M125:M145,'UFCA - JN'!I125:I145,Criterios!A8,
'UFCA - JN'!P125:P145,Criterios!B19)
+SUMIFS('UFCA - JN'!M125:M145,'UFCA - JN'!I125:I145,Criterios!A11,
'UFCA - JN'!P125:P145,Criterios!B19)
+SUMIFS('UFCA - JN'!M125:M145,'UFCA - JN'!I125:I145,Criterios!A12,
'UFCA - JN'!P125:P145,Criterios!B19)
+SUMIFS('UFCA - JN'!M125:M145,'UFCA - JN'!I125:I145,Criterios!A13,
'UFCA - JN'!P125:P145,Criterios!B19)
+SUMIFS('UFCA - JN'!M125:M145,'UFCA - JN'!I125:I145,Criterios!A14,
'UFCA - JN'!P125:P145,Criterios!B19)</f>
        <v>35.51</v>
      </c>
      <c r="D84" s="15">
        <f>SUMIF('UFCA - JN'!I125:I145,Criterios!C4,'UFCA - JN'!M125:M145)</f>
        <v>270.39999999999998</v>
      </c>
      <c r="E84" s="15" t="s">
        <v>100</v>
      </c>
      <c r="F84" s="15">
        <f>SUMIF('UFCA - JN'!I125:I145,Criterios!E4,'UFCA - JN'!M125:M145)
+SUMIF('UFCA - JN'!I125:I145,Criterios!E5,'UFCA - JN'!M125:M145)
+SUMIF('UFCA - JN'!I125:I145,Criterios!E6,'UFCA - JN'!M125:M145)
+SUMIF('UFCA - JN'!I125:I145,Criterios!E7,'UFCA - JN'!M125:M145)
+SUMIF('UFCA - JN'!I125:I145,Criterios!E8,'UFCA - JN'!M125:M145)
+SUMIF('UFCA - JN'!I125:I145,Criterios!E9,'UFCA - JN'!M125:M145)</f>
        <v>90.06</v>
      </c>
      <c r="G84" s="15">
        <f>SUMIF('UFCA - JN'!I125:I145,Criterios!F4,'UFCA - JN'!M125:M145)</f>
        <v>4.72</v>
      </c>
      <c r="H84" s="28">
        <f t="shared" si="6"/>
        <v>537.97</v>
      </c>
      <c r="K84" s="2">
        <f>SUM('UFCA - JN'!M125:M145)</f>
        <v>537.97</v>
      </c>
      <c r="L84" s="2">
        <f t="shared" si="7"/>
        <v>0</v>
      </c>
      <c r="M84">
        <f>SUMIF('UFCA - JN'!$F$4:$F$825,'TOTAL - JN'!A9,'UFCA - JN'!$M$4:$M$825)</f>
        <v>537.97</v>
      </c>
    </row>
    <row r="85" spans="1:13">
      <c r="A85" s="26" t="s">
        <v>375</v>
      </c>
      <c r="B85" s="15">
        <f>SUMIFS('UFCA - JN'!M146:M183,'UFCA - JN'!I146:I183,Criterios!B7,
'UFCA - JN'!P146:P183,Criterios!A19)
+SUMIFS('UFCA - JN'!M146:M183,'UFCA - JN'!I146:I183,Criterios!A4,
'UFCA - JN'!P146:P183,Criterios!A19)
+SUMIFS('UFCA - JN'!M146:M183,'UFCA - JN'!I146:I183,Criterios!A5,
'UFCA - JN'!P146:P183,Criterios!A19)
+SUMIFS('UFCA - JN'!M146:M183,'UFCA - JN'!I146:I183,Criterios!A6,
'UFCA - JN'!P146:P183,Criterios!A19)
+SUMIFS('UFCA - JN'!M146:M183,'UFCA - JN'!I146:I183,Criterios!A7,
'UFCA - JN'!P146:P183,Criterios!A19)
+SUMIFS('UFCA - JN'!M146:M183,'UFCA - JN'!I146:I183,Criterios!A8,
'UFCA - JN'!P146:P183,Criterios!A19)
+SUMIFS('UFCA - JN'!M146:M183,'UFCA - JN'!I146:I183,Criterios!A9,
'UFCA - JN'!P146:P183,Criterios!A19)
+SUMIFS('UFCA - JN'!M146:M183,'UFCA - JN'!I146:I183,Criterios!A10,
'UFCA - JN'!P146:P183,Criterios!A19)
+SUMIFS('UFCA - JN'!M146:M183,'UFCA - JN'!I146:I183,Criterios!A11,
'UFCA - JN'!P146:P183,Criterios!A19)
+SUMIFS('UFCA - JN'!M146:M183,'UFCA - JN'!I146:I183,Criterios!A12,
'UFCA - JN'!P146:P183,Criterios!A19)
+SUMIFS('UFCA - JN'!M146:M183,'UFCA - JN'!I146:I183,Criterios!A13,
'UFCA - JN'!P146:P183,Criterios!A19)
+SUMIFS('UFCA - JN'!M146:M183,'UFCA - JN'!I146:I183,Criterios!A14,
'UFCA - JN'!P146:P183,Criterios!A19)</f>
        <v>706.73</v>
      </c>
      <c r="C85" s="15">
        <f>SUMIFS('UFCA - JN'!M146:M183,'UFCA - JN'!I146:I183,Criterios!B4,
'UFCA - JN'!P146:P183,Criterios!B19)
+SUMIFS('UFCA - JN'!M146:M183,'UFCA - JN'!I146:I183,Criterios!B5,
'UFCA - JN'!P146:P183,Criterios!B19)
+SUMIFS('UFCA - JN'!M146:M183,'UFCA - JN'!I146:I183,Criterios!B6,
'UFCA - JN'!P146:P183,Criterios!B19)
+SUMIFS('UFCA - JN'!M146:M183,'UFCA - JN'!I146:I183,Criterios!B7,
'UFCA - JN'!P146:P183,Criterios!B19)
+SUMIFS('UFCA - JN'!M146:M183,'UFCA - JN'!I146:I183,Criterios!B8,
'UFCA - JN'!P146:P183,Criterios!B19)
+SUMIFS('UFCA - JN'!M146:M183,'UFCA - JN'!I146:I183,Criterios!A4,
'UFCA - JN'!P146:P183,Criterios!B19)
+SUMIFS('UFCA - JN'!M146:M183,'UFCA - JN'!I146:I183,Criterios!A5,
'UFCA - JN'!P146:P183,Criterios!B19)
+SUMIFS('UFCA - JN'!M146:M183,'UFCA - JN'!I146:I183,Criterios!A6,
'UFCA - JN'!P146:P183,Criterios!B19)
+SUMIFS('UFCA - JN'!M146:M183,'UFCA - JN'!I146:I183,Criterios!A8,
'UFCA - JN'!P146:P183,Criterios!B19)
+SUMIFS('UFCA - JN'!M146:M183,'UFCA - JN'!I146:I183,Criterios!A11,
'UFCA - JN'!P146:P183,Criterios!B19)
+SUMIFS('UFCA - JN'!M146:M183,'UFCA - JN'!I146:I183,Criterios!A12,
'UFCA - JN'!P146:P183,Criterios!B19)
+SUMIFS('UFCA - JN'!M146:M183,'UFCA - JN'!I146:I183,Criterios!A13,
'UFCA - JN'!P146:P183,Criterios!B19)
+SUMIFS('UFCA - JN'!M146:M183,'UFCA - JN'!I146:I183,Criterios!A14,
'UFCA - JN'!P146:P183,Criterios!B19)</f>
        <v>238.36</v>
      </c>
      <c r="D85" s="15">
        <f>SUMIF('UFCA - JN'!I146:I183,Criterios!C4,'UFCA - JN'!M146:M183)</f>
        <v>0</v>
      </c>
      <c r="E85" s="15" t="s">
        <v>100</v>
      </c>
      <c r="F85" s="15">
        <f>SUMIF('UFCA - JN'!I146:I183,Criterios!E4,'UFCA - JN'!M146:M183)
+SUMIF('UFCA - JN'!I146:I183,Criterios!E5,'UFCA - JN'!M146:M183)
+SUMIF('UFCA - JN'!I146:I183,Criterios!E6,'UFCA - JN'!M146:M183)
+SUMIF('UFCA - JN'!I146:I183,Criterios!E7,'UFCA - JN'!M146:M183)
+SUMIF('UFCA - JN'!I146:I183,Criterios!E8,'UFCA - JN'!M146:M183)
+SUMIF('UFCA - JN'!I146:I183,Criterios!E9,'UFCA - JN'!M146:M183)</f>
        <v>294.09999999999997</v>
      </c>
      <c r="G85" s="15">
        <f>SUMIF('UFCA - JN'!I146:I183,Criterios!F4,'UFCA - JN'!M146:M183)</f>
        <v>62.74</v>
      </c>
      <c r="H85" s="28">
        <f t="shared" si="6"/>
        <v>1301.93</v>
      </c>
      <c r="K85">
        <f>SUM('UFCA - JN'!M146:M183)</f>
        <v>1301.9299999999996</v>
      </c>
      <c r="L85" s="2">
        <f t="shared" si="7"/>
        <v>0</v>
      </c>
      <c r="M85">
        <f>SUMIF('UFCA - JN'!$F$4:$F$825,'TOTAL - JN'!A10,'UFCA - JN'!$M$4:$M$825)</f>
        <v>1301.9299999999996</v>
      </c>
    </row>
    <row r="86" spans="1:13">
      <c r="A86" s="116" t="s">
        <v>260</v>
      </c>
      <c r="B86" s="15">
        <f>SUMIFS('UFCA - JN'!M184:M207,'UFCA - JN'!I184:I207,Criterios!A4,
'UFCA - JN'!P184:P207,Criterios!A19)
+SUMIFS('UFCA - JN'!M184:M207,'UFCA - JN'!I184:I207,Criterios!A5,
'UFCA - JN'!P184:P207,Criterios!A19)
+SUMIFS('UFCA - JN'!M184:M207,'UFCA - JN'!I184:I207,Criterios!A6,
'UFCA - JN'!P184:P207,Criterios!A19)
+SUMIFS('UFCA - JN'!M184:M207,'UFCA - JN'!I184:I207,Criterios!A7,
'UFCA - JN'!P184:P207,Criterios!A19)
+SUMIFS('UFCA - JN'!M184:M207,'UFCA - JN'!I184:I207,Criterios!A8,
'UFCA - JN'!P184:P207,Criterios!A19)
+SUMIFS('UFCA - JN'!M184:M207,'UFCA - JN'!I184:I207,Criterios!A9,
'UFCA - JN'!P184:P207,Criterios!A19)
+SUMIF('UFCA - JN'!I184:I207,Criterios!A12,'UFCA - JN'!M184:M207)
+SUMIF('UFCA - JN'!I184:I207,Criterios!A13,'UFCA - JN'!M184:M207)</f>
        <v>226.13</v>
      </c>
      <c r="C86" s="15">
        <f>SUMIFS('UFCA - JN'!M184:M207,'UFCA - JN'!I184:I207,Criterios!B4,
'UFCA - JN'!P184:P207,Criterios!B19)
+SUMIFS('UFCA - JN'!M184:M207,'UFCA - JN'!I184:I207,Criterios!B5,
'UFCA - JN'!P184:P207,Criterios!B19)
+SUMIFS('UFCA - JN'!M184:M207,'UFCA - JN'!I184:I207,Criterios!B6,
'UFCA - JN'!P184:P207,Criterios!B19)
+SUMIFS('UFCA - JN'!M184:M207,'UFCA - JN'!I184:I207,Criterios!B7,
'UFCA - JN'!P184:P207,Criterios!B19)</f>
        <v>0</v>
      </c>
      <c r="D86" s="15">
        <f>SUMIF('UFCA - JN'!I184:I207,Criterios!C4,'UFCA - JN'!M184:M207)</f>
        <v>417.44</v>
      </c>
      <c r="E86" s="15">
        <f>SUMIF('UFCA - JN'!I184:I207,Criterios!D4,'UFCA - JN'!M184:M207)</f>
        <v>0</v>
      </c>
      <c r="F86" s="15">
        <f>SUMIF('UFCA - JN'!I184:I207,Criterios!E4,'UFCA - JN'!M184:M207)
+SUMIF('UFCA - JN'!I184:I207,Criterios!E5,'UFCA - JN'!M184:M207)
+SUMIF('UFCA - JN'!I184:I207,Criterios!E6,'UFCA - JN'!M184:M207)
+SUMIF('UFCA - JN'!I184:I207,Criterios!E7,'UFCA - JN'!M184:M207)
+SUMIF('UFCA - JN'!I184:I207,Criterios!E8,'UFCA - JN'!M184:M207)
+SUMIF('UFCA - JN'!I184:I207,Criterios!E9,'UFCA - JN'!M184:M207)</f>
        <v>114.56</v>
      </c>
      <c r="G86" s="15">
        <f>SUMIF('UFCA - JN'!I184:I207,Criterios!F4,'UFCA - JN'!M184:M207)</f>
        <v>26</v>
      </c>
      <c r="H86" s="28">
        <f t="shared" si="6"/>
        <v>784.12999999999988</v>
      </c>
      <c r="K86" s="2">
        <f>SUM('UFCA - JN'!M184:M207)</f>
        <v>784.13000000000011</v>
      </c>
      <c r="L86" s="2">
        <f t="shared" si="7"/>
        <v>0</v>
      </c>
      <c r="M86">
        <f>SUMIF('UFCA - JN'!$F$4:$F$825,'TOTAL - JN'!A11,'UFCA - JN'!$M$4:$M$825)</f>
        <v>784.13000000000011</v>
      </c>
    </row>
    <row r="87" spans="1:13">
      <c r="A87" s="157" t="s">
        <v>376</v>
      </c>
      <c r="B87" s="15">
        <f>SUMIFS('UFCA - JN'!M208:M244,'UFCA - JN'!I208:I244,Criterios!A4,
'UFCA - JN'!P208:P244,Criterios!A19)
+SUMIFS('UFCA - JN'!M208:M244,'UFCA - JN'!I208:I244,Criterios!A5,
'UFCA - JN'!P208:P244,Criterios!A19)
+SUMIFS('UFCA - JN'!M208:M244,'UFCA - JN'!I208:I244,Criterios!A6,
'UFCA - JN'!P208:P244,Criterios!A19)
+SUMIFS('UFCA - JN'!M208:M244,'UFCA - JN'!I208:I244,Criterios!A7,
'UFCA - JN'!P208:P244,Criterios!A19)
+SUMIFS('UFCA - JN'!M208:M244,'UFCA - JN'!I208:I244,Criterios!A8,
'UFCA - JN'!P208:P244,Criterios!A19)
+SUMIFS('UFCA - JN'!M208:M244,'UFCA - JN'!I208:I244,Criterios!A9,
'UFCA - JN'!P208:P244,Criterios!A19)
+SUMIFS('UFCA - JN'!M208:M244,'UFCA - JN'!I208:I244,Criterios!A10,
'UFCA - JN'!P208:P244,Criterios!A19)
+SUMIFS('UFCA - JN'!M208:M244,'UFCA - JN'!I208:I244,Criterios!A11,
'UFCA - JN'!P208:P244,Criterios!A19)
+SUMIFS('UFCA - JN'!M208:M244,'UFCA - JN'!I208:I244,Criterios!A12,
'UFCA - JN'!P208:P244,Criterios!A19)
+SUMIFS('UFCA - JN'!M208:M244,'UFCA - JN'!I208:I244,Criterios!A13,
'UFCA - JN'!P208:P244,Criterios!A19)
+SUMIFS('UFCA - JN'!M208:M244,'UFCA - JN'!I208:I244,Criterios!A14,
'UFCA - JN'!P208:P244,Criterios!A19)
+SUMIFS('UFCA - JN'!M208:M244,'UFCA - JN'!I208:I244,Criterios!A4,
'UFCA - JN'!P208:P244,Criterios!A20)
+SUMIFS('UFCA - JN'!M208:M244,'UFCA - JN'!I208:I244,Criterios!A5,
'UFCA - JN'!P208:P244,Criterios!A20)
+SUMIFS('UFCA - JN'!M208:M244,'UFCA - JN'!I208:I244,Criterios!A6,
'UFCA - JN'!P208:P244,Criterios!A20)
+SUMIFS('UFCA - JN'!M208:M244,'UFCA - JN'!I208:I244,Criterios!A7,
'UFCA - JN'!P208:P244,Criterios!A20)
+SUMIFS('UFCA - JN'!M208:M244,'UFCA - JN'!I208:I244,Criterios!A8,
'UFCA - JN'!P208:P244,Criterios!A20)
+SUMIFS('UFCA - JN'!M208:M244,'UFCA - JN'!I208:I244,Criterios!A9,
'UFCA - JN'!P208:P244,Criterios!A20)
+SUMIFS('UFCA - JN'!M208:M244,'UFCA - JN'!I208:I244,Criterios!A10,
'UFCA - JN'!P208:P244,Criterios!A20)
+SUMIFS('UFCA - JN'!M208:M244,'UFCA - JN'!I208:I244,Criterios!A11,
'UFCA - JN'!P208:P244,Criterios!A20)
+SUMIFS('UFCA - JN'!M208:M244,'UFCA - JN'!I208:I244,Criterios!A12,
'UFCA - JN'!P208:P244,Criterios!A20)
+SUMIFS('UFCA - JN'!M208:M244,'UFCA - JN'!I208:I244,Criterios!A13,
'UFCA - JN'!P208:P244,Criterios!A20)
+SUMIFS('UFCA - JN'!M208:M244,'UFCA - JN'!I208:I244,Criterios!A14,
'UFCA - JN'!P208:P244,Criterios!A20)</f>
        <v>916.73</v>
      </c>
      <c r="C87" s="15">
        <f>SUMIFS('UFCA - JN'!M208:M244,'UFCA - JN'!I208:I244,Criterios!B4,
'UFCA - JN'!P208:P244,Criterios!B19)
+SUMIFS('UFCA - JN'!M208:M244,'UFCA - JN'!I208:I244,Criterios!B5,
'UFCA - JN'!P208:P244,Criterios!B19)
+SUMIFS('UFCA - JN'!M208:M244,'UFCA - JN'!I208:I244,Criterios!B6,
'UFCA - JN'!P208:P244,Criterios!B19)
+SUMIFS('UFCA - JN'!M208:M244,'UFCA - JN'!I208:I244,Criterios!B7,
'UFCA - JN'!P208:P244,Criterios!B19)
+SUMIFS('UFCA - JN'!M208:M244,'UFCA - JN'!I208:I244,Criterios!B8,
'UFCA - JN'!P208:P244,Criterios!B19)
+SUMIFS('UFCA - JN'!M208:M244,'UFCA - JN'!I208:I244,Criterios!A4,
'UFCA - JN'!P208:P244,Criterios!B19)
+SUMIFS('UFCA - JN'!M208:M244,'UFCA - JN'!I208:I244,Criterios!A5,
'UFCA - JN'!P208:P244,Criterios!B19)
+SUMIFS('UFCA - JN'!M208:M244,'UFCA - JN'!I208:I244,Criterios!A6,
'UFCA - JN'!P208:P244,Criterios!B19)
+SUMIFS('UFCA - JN'!M208:M244,'UFCA - JN'!I208:I244,Criterios!A8,
'UFCA - JN'!P208:P244,Criterios!B19)
+SUMIFS('UFCA - JN'!M208:M244,'UFCA - JN'!I208:I244,Criterios!A11,
'UFCA - JN'!P208:P244,Criterios!B19)
+SUMIFS('UFCA - JN'!M208:M244,'UFCA - JN'!I208:I244,Criterios!A12,
'UFCA - JN'!P208:P244,Criterios!B19)
+SUMIFS('UFCA - JN'!M208:M244,'UFCA - JN'!I208:I244,Criterios!A13,
'UFCA - JN'!P208:P244,Criterios!B19)
+SUMIFS('UFCA - JN'!M208:M244,'UFCA - JN'!I208:I244,Criterios!A14,
'UFCA - JN'!P208:P244,Criterios!B19)</f>
        <v>402.06000000000006</v>
      </c>
      <c r="D87" s="15">
        <f>SUMIF('UFCA - JN'!I208:I244,Criterios!C4,'UFCA - JN'!M208:M244)</f>
        <v>0</v>
      </c>
      <c r="E87" s="15" t="s">
        <v>100</v>
      </c>
      <c r="F87" s="15">
        <f>SUMIF('UFCA - JN'!I208:I244,Criterios!E4,'UFCA - JN'!M208:M244)
+SUMIF('UFCA - JN'!I208:I244,Criterios!E5,'UFCA - JN'!M208:M244)
+SUMIF('UFCA - JN'!I208:I244,Criterios!E6,'UFCA - JN'!M208:M244)
+SUMIF('UFCA - JN'!I208:I244,Criterios!E7,'UFCA - JN'!M208:M244)
+SUMIF('UFCA - JN'!I208:I244,Criterios!E8,'UFCA - JN'!M208:M244)
+SUMIF('UFCA - JN'!I208:I244,Criterios!E9,'UFCA - JN'!M208:M244)</f>
        <v>347.92</v>
      </c>
      <c r="G87" s="15">
        <f>SUMIF('UFCA - JN'!I208:I244,Criterios!F4,'UFCA - JN'!M208:M244)</f>
        <v>126.84</v>
      </c>
      <c r="H87" s="28">
        <f t="shared" si="6"/>
        <v>1793.55</v>
      </c>
      <c r="K87">
        <f>SUM('UFCA - JN'!M208:M244)</f>
        <v>1793.55</v>
      </c>
      <c r="L87" s="2">
        <f t="shared" si="7"/>
        <v>0</v>
      </c>
      <c r="M87">
        <f>SUMIF('UFCA - JN'!$F$4:$F$825,'TOTAL - JN'!A12,'UFCA - JN'!$M$4:$M$825)</f>
        <v>1793.55</v>
      </c>
    </row>
    <row r="88" spans="1:13">
      <c r="A88" s="26" t="s">
        <v>335</v>
      </c>
      <c r="B88" s="32">
        <f>SUMIFS('UFCA - JN'!M245:M268,'UFCA - JN'!I245:I268,Criterios!A4,
'UFCA - JN'!P245:P268,Criterios!A19)
+SUMIFS('UFCA - JN'!M245:M268,'UFCA - JN'!I245:I268,Criterios!A5,
'UFCA - JN'!P245:P268,Criterios!A19)
+SUMIFS('UFCA - JN'!M245:M268,'UFCA - JN'!I245:I268,Criterios!A6,
'UFCA - JN'!P245:P268,Criterios!A19)
+SUMIFS('UFCA - JN'!M245:M268,'UFCA - JN'!I245:I268,Criterios!A7,
'UFCA - JN'!P245:P268,Criterios!A19)
+SUMIFS('UFCA - JN'!M245:M268,'UFCA - JN'!I245:I268,Criterios!A8,
'UFCA - JN'!P245:P268,Criterios!A19)
+SUMIFS('UFCA - JN'!M245:M268,'UFCA - JN'!I245:I268,Criterios!A9,
'UFCA - JN'!P245:P268,Criterios!A19)
+SUMIF('UFCA - JN'!I245:I268,Criterios!A12,'UFCA - JN'!M245:M268)
+SUMIF('UFCA - JN'!I245:I268,Criterios!A13,'UFCA - JN'!M245:M268)</f>
        <v>200.68</v>
      </c>
      <c r="C88" s="32">
        <f>SUMIFS('UFCA - JN'!M245:M268,'UFCA - JN'!I245:I268,Criterios!B4,
'UFCA - JN'!P245:P268,Criterios!B19)
+SUMIFS('UFCA - JN'!M245:M268,'UFCA - JN'!I245:I268,Criterios!B5,
'UFCA - JN'!P245:P268,Criterios!B19)
+SUMIFS('UFCA - JN'!M245:M268,'UFCA - JN'!I245:I268,Criterios!B6,
'UFCA - JN'!P245:P268,Criterios!B19)
+SUMIFS('UFCA - JN'!M245:M268,'UFCA - JN'!I245:I268,Criterios!B7,
'UFCA - JN'!P245:P268,Criterios!B19)
+SUMIFS('UFCA - JN'!M245:M268,'UFCA - JN'!I245:I268,Criterios!B8,
'UFCA - JN'!P245:P268,Criterios!B19)
+SUMIFS('UFCA - JN'!M245:M268,'UFCA - JN'!I245:I268,Criterios!B4,
'UFCA - JN'!P245:P268,Criterios!B20)
+SUMIFS('UFCA - JN'!M245:M268,'UFCA - JN'!I245:I268,Criterios!B5,
'UFCA - JN'!P245:P268,Criterios!B20)
+SUMIFS('UFCA - JN'!M245:M268,'UFCA - JN'!I245:I268,Criterios!B6,
'UFCA - JN'!P245:P268,Criterios!B20)
+SUMIFS('UFCA - JN'!M245:M268,'UFCA - JN'!I245:I268,Criterios!B7,
'UFCA - JN'!P245:P268,Criterios!B20)
+SUMIFS('UFCA - JN'!M245:M268,'UFCA - JN'!I245:I268,Criterios!B8,
'UFCA - JN'!P245:P268,Criterios!B20)</f>
        <v>443.53</v>
      </c>
      <c r="D88" s="32" t="s">
        <v>100</v>
      </c>
      <c r="E88" s="32" t="s">
        <v>100</v>
      </c>
      <c r="F88" s="32">
        <f>SUMIF('UFCA - JN'!I245:I268,Criterios!E4,'UFCA - JN'!M245:M268)
+SUMIF('UFCA - JN'!I245:I268,Criterios!E5,'UFCA - JN'!M245:M268)
+SUMIF('UFCA - JN'!I245:I268,Criterios!E6,'UFCA - JN'!M245:M268)
+SUMIF('UFCA - JN'!I245:I268,Criterios!E7,'UFCA - JN'!M245:M268)
+SUMIF('UFCA - JN'!I245:I268,Criterios!E8,'UFCA - JN'!M245:M268)
+SUMIF('UFCA - JN'!I245:I268,Criterios!E9,'UFCA - JN'!M245:M268)</f>
        <v>65.84</v>
      </c>
      <c r="G88" s="32">
        <f>SUMIF('UFCA - JN'!I245:I268,Criterios!F4,'UFCA - JN'!M245:M268)</f>
        <v>43.07</v>
      </c>
      <c r="H88" s="155">
        <f t="shared" si="6"/>
        <v>753.12000000000012</v>
      </c>
      <c r="K88">
        <f>SUM('UFCA - JN'!M245:M268)</f>
        <v>753.11999999999989</v>
      </c>
      <c r="L88" s="2">
        <f t="shared" si="7"/>
        <v>0</v>
      </c>
      <c r="M88">
        <f>SUMIF('UFCA - JN'!$F$4:$F$825,'TOTAL - JN'!A13,'UFCA - JN'!$M$4:$M$825)</f>
        <v>753.11999999999989</v>
      </c>
    </row>
    <row r="89" spans="1:13">
      <c r="A89" s="26" t="s">
        <v>387</v>
      </c>
      <c r="B89" s="15">
        <f>SUMIFS('UFCA - JN'!M269:M338,'UFCA - JN'!I269:I338,Criterios!A4,
'UFCA - JN'!P269:P338,Criterios!A19)
+SUMIFS('UFCA - JN'!M269:M338,'UFCA - JN'!I269:I338,Criterios!A5,
'UFCA - JN'!P269:P338,Criterios!A19)
+SUMIFS('UFCA - JN'!M269:M338,'UFCA - JN'!I269:I338,Criterios!A6,
'UFCA - JN'!P269:P338,Criterios!A19)
+SUMIFS('UFCA - JN'!M269:M338,'UFCA - JN'!I269:I338,Criterios!A7,
'UFCA - JN'!P269:P338,Criterios!A19)
+SUMIFS('UFCA - JN'!M269:M338,'UFCA - JN'!I269:I338,Criterios!A8,
'UFCA - JN'!P269:P338,Criterios!A19)
+SUMIFS('UFCA - JN'!M269:M338,'UFCA - JN'!I269:I338,Criterios!A9,
'UFCA - JN'!P269:P338,Criterios!A19)
+SUMIFS('UFCA - JN'!M269:M338,'UFCA - JN'!I269:I338,Criterios!A10,
'UFCA - JN'!P269:P338,Criterios!A19)
+SUMIFS('UFCA - JN'!M269:M338,'UFCA - JN'!I269:I338,Criterios!A11,
'UFCA - JN'!P269:P338,Criterios!A19)
+SUMIFS('UFCA - JN'!M269:M338,'UFCA - JN'!I269:I338,Criterios!A12,
'UFCA - JN'!P269:P338,Criterios!A19)
+SUMIFS('UFCA - JN'!M269:M338,'UFCA - JN'!I269:I338,Criterios!A13,
'UFCA - JN'!P269:P338,Criterios!A19)
+SUMIFS('UFCA - JN'!M269:M338,'UFCA - JN'!I269:I338,Criterios!A14,
'UFCA - JN'!P269:P338,Criterios!A19)
+SUMIFS('UFCA - JN'!M269:M338,'UFCA - JN'!I269:I338,Criterios!A15,
'UFCA - JN'!P269:P338,Criterios!A19)</f>
        <v>2286.4899999999998</v>
      </c>
      <c r="C89" s="15">
        <f>SUMIFS('UFCA - JN'!M269:M338,'UFCA - JN'!I269:I338,Criterios!B4,
'UFCA - JN'!P269:P338,Criterios!B19)
+SUMIFS('UFCA - JN'!M269:M338,'UFCA - JN'!I269:I338,Criterios!B5,
'UFCA - JN'!P269:P338,Criterios!B19)
+SUMIFS('UFCA - JN'!M269:M338,'UFCA - JN'!I269:I338,Criterios!B6,
'UFCA - JN'!P269:P338,Criterios!B19)
+SUMIFS('UFCA - JN'!M269:M338,'UFCA - JN'!I269:I338,Criterios!B8,
'UFCA - JN'!P269:P338,Criterios!B19)
+SUMIFS('UFCA - JN'!M269:M338,'UFCA - JN'!I269:I338,Criterios!A4,
'UFCA - JN'!P269:P338,Criterios!B19)
+SUMIFS('UFCA - JN'!M269:M338,'UFCA - JN'!I269:I338,Criterios!A5,
'UFCA - JN'!P269:P338,Criterios!B19)
+SUMIFS('UFCA - JN'!M269:M338,'UFCA - JN'!I269:I338,Criterios!A6,
'UFCA - JN'!P269:P338,Criterios!B19)
+SUMIFS('UFCA - JN'!M269:M338,'UFCA - JN'!I269:I338,Criterios!A8,
'UFCA - JN'!P269:P338,Criterios!B19)
+SUMIFS('UFCA - JN'!M269:M338,'UFCA - JN'!I269:I338,Criterios!A11,
'UFCA - JN'!P269:P338,Criterios!B19)
+SUMIFS('UFCA - JN'!M269:M338,'UFCA - JN'!I269:I338,Criterios!A12,
'UFCA - JN'!P269:P338,Criterios!B19)
+SUMIFS('UFCA - JN'!M269:M338,'UFCA - JN'!I269:I338,Criterios!A13,
'UFCA - JN'!P269:P338,Criterios!B19)
+SUMIFS('UFCA - JN'!M269:M338,'UFCA - JN'!I269:I338,Criterios!A14,
'UFCA - JN'!P269:P338,Criterios!B19)</f>
        <v>10.48</v>
      </c>
      <c r="D89" s="15" t="s">
        <v>100</v>
      </c>
      <c r="E89" s="15" t="s">
        <v>100</v>
      </c>
      <c r="F89" s="15">
        <f>SUMIF('UFCA - JN'!I269:I338,Criterios!E4,'UFCA - JN'!M269:M338)
+SUMIF('UFCA - JN'!I269:I338,Criterios!E5,'UFCA - JN'!M269:M338)
+SUMIF('UFCA - JN'!I269:I338,Criterios!E6,'UFCA - JN'!M269:M338)
+SUMIF('UFCA - JN'!I269:I338,Criterios!E7,'UFCA - JN'!M269:M338)
+SUMIF('UFCA - JN'!I269:I338,Criterios!E8,'UFCA - JN'!M269:M338)
+SUMIF('UFCA - JN'!I269:I338,Criterios!E9,'UFCA - JN'!M269:M338)</f>
        <v>637.46</v>
      </c>
      <c r="G89" s="15">
        <f>SUMIF('UFCA - JN'!I269:I338,Criterios!F4,'UFCA - JN'!M269:M338)</f>
        <v>133.32</v>
      </c>
      <c r="H89" s="28">
        <f t="shared" si="6"/>
        <v>3067.75</v>
      </c>
      <c r="K89">
        <f>SUM('UFCA - JN'!M269:M338)</f>
        <v>3067.7499999999995</v>
      </c>
      <c r="L89" s="2">
        <f t="shared" si="7"/>
        <v>0</v>
      </c>
      <c r="M89">
        <f>SUMIF('UFCA - JN'!$F$4:$F$825,'TOTAL - JN'!A14,'UFCA - JN'!$M$4:$M$825)</f>
        <v>3067.7499999999995</v>
      </c>
    </row>
    <row r="90" spans="1:13">
      <c r="A90" s="26" t="s">
        <v>359</v>
      </c>
      <c r="B90" s="32">
        <f>SUMIFS('UFCA - JN'!M339:M347,'UFCA - JN'!I339:I347,Criterios!A4,
'UFCA - JN'!P339:P347,Criterios!A19)
+SUMIFS('UFCA - JN'!M339:M347,'UFCA - JN'!I339:I347,Criterios!A5,
'UFCA - JN'!P339:P347,Criterios!A19)
+SUMIFS('UFCA - JN'!M339:M347,'UFCA - JN'!I339:I347,Criterios!A6,
'UFCA - JN'!P339:P347,Criterios!A19)
+SUMIFS('UFCA - JN'!M339:M347,'UFCA - JN'!I339:I347,Criterios!A7,
'UFCA - JN'!P339:P347,Criterios!A19)
+SUMIFS('UFCA - JN'!M339:M347,'UFCA - JN'!I339:I347,Criterios!A8,
'UFCA - JN'!P339:P347,Criterios!A19)
+SUMIFS('UFCA - JN'!M339:M347,'UFCA - JN'!I339:I347,Criterios!A9,
'UFCA - JN'!P339:P347,Criterios!A19)
+SUMIF('UFCA - JN'!I339:I347,Criterios!A12,'UFCA - JN'!M339:M347)
+SUMIF('UFCA - JN'!I339:I347,Criterios!A13,'UFCA - JN'!M339:M347)</f>
        <v>82.22</v>
      </c>
      <c r="C90" s="15" t="s">
        <v>100</v>
      </c>
      <c r="D90" s="15" t="s">
        <v>100</v>
      </c>
      <c r="E90" s="15">
        <f>SUMIF('UFCA - JN'!I339:I347,Criterios!D4,'UFCA - JN'!M339:M347)</f>
        <v>555.5</v>
      </c>
      <c r="F90" s="15">
        <f>SUMIF('UFCA - JN'!I339:I347,Criterios!E4,'UFCA - JN'!M339:M347)
+SUMIF('UFCA - JN'!I339:I347,Criterios!E5,'UFCA - JN'!M339:M347)
+SUMIF('UFCA - JN'!I339:I347,Criterios!E6,'UFCA - JN'!M339:M347)
+SUMIF('UFCA - JN'!I339:I347,Criterios!E7,'UFCA - JN'!M339:M347)
+SUMIF('UFCA - JN'!I339:I347,Criterios!E8,'UFCA - JN'!M339:M347)
+SUMIF('UFCA - JN'!I339:I347,Criterios!E9,'UFCA - JN'!M339:M347)</f>
        <v>138.98000000000002</v>
      </c>
      <c r="G90" s="15" t="s">
        <v>100</v>
      </c>
      <c r="H90" s="28">
        <f t="shared" si="6"/>
        <v>776.7</v>
      </c>
      <c r="K90">
        <f>SUM('UFCA - JN'!M339:M347)</f>
        <v>776.7</v>
      </c>
      <c r="L90" s="2">
        <f t="shared" si="7"/>
        <v>0</v>
      </c>
      <c r="M90">
        <f>SUMIF('UFCA - JN'!$F$4:$F$825,'TOTAL - JN'!A15,'UFCA - JN'!$M$4:$M$825)</f>
        <v>776.7</v>
      </c>
    </row>
    <row r="91" spans="1:13">
      <c r="A91" s="26" t="s">
        <v>398</v>
      </c>
      <c r="B91" s="15">
        <f>SUMIFS('UFCA - JN'!M348:M423,'UFCA - JN'!I348:I423,Criterios!A4,
'UFCA - JN'!P348:P423,Criterios!A19)
+SUMIFS('UFCA - JN'!M348:M423,'UFCA - JN'!I348:I423,Criterios!A5,
'UFCA - JN'!P348:P423,Criterios!A19)
+SUMIFS('UFCA - JN'!M348:M423,'UFCA - JN'!I348:I423,Criterios!A6,
'UFCA - JN'!P348:P423,Criterios!A19)
+SUMIFS('UFCA - JN'!M348:M423,'UFCA - JN'!I348:I423,Criterios!A7,
'UFCA - JN'!P348:P423,Criterios!A19)
+SUMIFS('UFCA - JN'!M348:M423,'UFCA - JN'!I348:I423,Criterios!A8,
'UFCA - JN'!P348:P423,Criterios!A19)
+SUMIFS('UFCA - JN'!M348:M423,'UFCA - JN'!I348:I423,Criterios!A9,
'UFCA - JN'!P348:P423,Criterios!A19)
+SUMIFS('UFCA - JN'!M348:M423,'UFCA - JN'!I348:I423,Criterios!A10,
'UFCA - JN'!P348:P423,Criterios!A19)
+SUMIFS('UFCA - JN'!M348:M423,'UFCA - JN'!I348:I423,Criterios!A11,
'UFCA - JN'!P348:P423,Criterios!A19)
+SUMIFS('UFCA - JN'!M348:M423,'UFCA - JN'!I348:I423,Criterios!A12,
'UFCA - JN'!P348:P423,Criterios!A19)
+SUMIFS('UFCA - JN'!M348:M423,'UFCA - JN'!I348:I423,Criterios!A13,
'UFCA - JN'!P348:P423,Criterios!A19)
+SUMIFS('UFCA - JN'!M348:M423,'UFCA - JN'!I348:I423,Criterios!A14,
'UFCA - JN'!P348:P423,Criterios!A19)
+SUMIFS('UFCA - JN'!M348:M423,'UFCA - JN'!I348:I423,Criterios!A15,
'UFCA - JN'!P348:P423,Criterios!A19)</f>
        <v>2207.9300000000003</v>
      </c>
      <c r="C91" s="15">
        <f>SUMIFS('UFCA - JN'!M348:M423,'UFCA - JN'!I348:I423,Criterios!B4,
'UFCA - JN'!P348:P423,Criterios!B19)
+SUMIFS('UFCA - JN'!M348:M423,'UFCA - JN'!I348:I423,Criterios!B5,
'UFCA - JN'!P348:P423,Criterios!B19)
+SUMIFS('UFCA - JN'!M348:M423,'UFCA - JN'!I348:I423,Criterios!B6,
'UFCA - JN'!P348:P423,Criterios!B19)
+SUMIFS('UFCA - JN'!M348:M423,'UFCA - JN'!I348:I423,Criterios!B7,
'UFCA - JN'!P348:P423,Criterios!B19)
+SUMIFS('UFCA - JN'!M348:M423,'UFCA - JN'!I348:I423,Criterios!B8,
'UFCA - JN'!P348:P423,Criterios!B19)
+SUMIFS('UFCA - JN'!M348:M423,'UFCA - JN'!I348:I423,Criterios!A4,
'UFCA - JN'!P348:P423,Criterios!B19)
+SUMIFS('UFCA - JN'!M348:M423,'UFCA - JN'!I348:I423,Criterios!A5,
'UFCA - JN'!P348:P423,Criterios!B19)
+SUMIFS('UFCA - JN'!M348:M423,'UFCA - JN'!I348:I423,Criterios!A6,
'UFCA - JN'!P348:P423,Criterios!B19)
+SUMIFS('UFCA - JN'!M348:M423,'UFCA - JN'!I348:I423,Criterios!A8,
'UFCA - JN'!P348:P423,Criterios!B19)
+SUMIFS('UFCA - JN'!M348:M423,'UFCA - JN'!I348:I423,Criterios!A11,
'UFCA - JN'!P348:P423,Criterios!B19)
+SUMIFS('UFCA - JN'!M348:M423,'UFCA - JN'!I348:I423,Criterios!A12,
'UFCA - JN'!P348:P423,Criterios!B19)
+SUMIFS('UFCA - JN'!M348:M423,'UFCA - JN'!I348:I423,Criterios!A13,
'UFCA - JN'!P348:P423,Criterios!B19)
+SUMIFS('UFCA - JN'!M348:M423,'UFCA - JN'!I348:I423,Criterios!A14,
'UFCA - JN'!P348:P423,Criterios!B19)</f>
        <v>33.24</v>
      </c>
      <c r="D91" s="15">
        <f>SUMIF('UFCA - JN'!I348:I423,Criterios!C4,'UFCA - JN'!M348:M423)</f>
        <v>0</v>
      </c>
      <c r="E91" s="15" t="s">
        <v>100</v>
      </c>
      <c r="F91" s="15">
        <f>SUMIF('UFCA - JN'!I348:I423,Criterios!E4,'UFCA - JN'!M348:M423)
+SUMIF('UFCA - JN'!I348:I423,Criterios!E5,'UFCA - JN'!M348:M423)
+SUMIF('UFCA - JN'!I348:I423,Criterios!E6,'UFCA - JN'!M348:M423)
+SUMIF('UFCA - JN'!I348:I423,Criterios!E7,'UFCA - JN'!M348:M423)
+SUMIF('UFCA - JN'!I348:I423,Criterios!E8,'UFCA - JN'!M348:M423)
+SUMIF('UFCA - JN'!I348:I423,Criterios!E9,'UFCA - JN'!M348:M423)</f>
        <v>742.83</v>
      </c>
      <c r="G91" s="15">
        <f>SUMIF('UFCA - JN'!I348:I423,Criterios!F4,'UFCA - JN'!M348:M423)</f>
        <v>131.88000000000002</v>
      </c>
      <c r="H91" s="28">
        <f t="shared" si="6"/>
        <v>3115.88</v>
      </c>
      <c r="K91">
        <f>SUM('UFCA - JN'!M348:M423)</f>
        <v>3115.8799999999987</v>
      </c>
      <c r="L91" s="2">
        <f t="shared" si="7"/>
        <v>0</v>
      </c>
      <c r="M91">
        <f>SUMIF('UFCA - JN'!$F$4:$F$825,'TOTAL - JN'!A16,'UFCA - JN'!$M$4:$M$825)</f>
        <v>3115.8799999999987</v>
      </c>
    </row>
    <row r="92" spans="1:13">
      <c r="A92" s="26" t="s">
        <v>444</v>
      </c>
      <c r="B92" s="15">
        <f>SUMIFS('UFCA - JN'!M424:M448,'UFCA - JN'!I424:I448,Criterios!A4,
'UFCA - JN'!P424:P448,Criterios!A19)
+SUMIFS('UFCA - JN'!M424:M448,'UFCA - JN'!I424:I448,Criterios!A5,
'UFCA - JN'!P424:P448,Criterios!A19)
+SUMIFS('UFCA - JN'!M424:M448,'UFCA - JN'!I424:I448,Criterios!A6,
'UFCA - JN'!P424:P448,Criterios!A19)
+SUMIFS('UFCA - JN'!M424:M448,'UFCA - JN'!I424:I448,Criterios!A7,
'UFCA - JN'!P424:P448,Criterios!A19)
+SUMIFS('UFCA - JN'!M424:M448,'UFCA - JN'!I424:I448,Criterios!A8,
'UFCA - JN'!P424:P448,Criterios!A19)
+SUMIFS('UFCA - JN'!M424:M448,'UFCA - JN'!I424:I448,Criterios!A9,
'UFCA - JN'!P424:P448,Criterios!A19)
+SUMIF('UFCA - JN'!I424:I448,Criterios!A12,'UFCA - JN'!M424:M448)
+SUMIF('UFCA - JN'!I424:I448,Criterios!A13,'UFCA - JN'!M424:M448)</f>
        <v>413.15</v>
      </c>
      <c r="C92" s="15">
        <f>SUMIFS('UFCA - JN'!M424:M448,'UFCA - JN'!I424:I448,Criterios!B4,
'UFCA - JN'!P424:P448,Criterios!B19)
+SUMIFS('UFCA - JN'!M424:M448,'UFCA - JN'!I424:I448,Criterios!B5,
'UFCA - JN'!P424:P448,Criterios!B19)
+SUMIFS('UFCA - JN'!M424:M448,'UFCA - JN'!I424:I448,Criterios!B6,
'UFCA - JN'!P424:P448,Criterios!B19)
+SUMIFS('UFCA - JN'!M424:M448,'UFCA - JN'!I424:I448,Criterios!B7,
'UFCA - JN'!P424:P448,Criterios!B19)
+SUMIFS('UFCA - JN'!M424:M448,'UFCA - JN'!I424:I448,Criterios!B8,
'UFCA - JN'!P424:P448,Criterios!B19)
+SUMIFS('UFCA - JN'!M424:M448,'UFCA - JN'!I424:I448,Criterios!B4,
'UFCA - JN'!P424:P448,Criterios!B20)
+SUMIFS('UFCA - JN'!M424:M448,'UFCA - JN'!I424:I448,Criterios!B5,
'UFCA - JN'!P424:P448,Criterios!B20)
+SUMIFS('UFCA - JN'!M424:M448,'UFCA - JN'!I424:I448,Criterios!B6,
'UFCA - JN'!P424:P448,Criterios!B20)
+SUMIFS('UFCA - JN'!M424:M448,'UFCA - JN'!I424:I448,Criterios!B7,
'UFCA - JN'!P424:P448,Criterios!B20)
+SUMIFS('UFCA - JN'!M424:M448,'UFCA - JN'!I424:I448,Criterios!B8,
'UFCA - JN'!P424:P448,Criterios!B20)</f>
        <v>0</v>
      </c>
      <c r="D92" s="15">
        <f>SUMIF('UFCA - JN'!I424:I448,Criterios!C4,'UFCA - JN'!M424:M448)</f>
        <v>130.91999999999999</v>
      </c>
      <c r="E92" s="15" t="s">
        <v>100</v>
      </c>
      <c r="F92" s="15">
        <f>SUMIF('UFCA - JN'!I424:I448,Criterios!E4,'UFCA - JN'!M424:M448)
+SUMIF('UFCA - JN'!I424:I448,Criterios!E5,'UFCA - JN'!M424:M448)
+SUMIF('UFCA - JN'!I424:I448,Criterios!E6,'UFCA - JN'!M424:M448)
+SUMIF('UFCA - JN'!I424:I448,Criterios!E7,'UFCA - JN'!M424:M448)
+SUMIF('UFCA - JN'!I424:I448,Criterios!E8,'UFCA - JN'!M424:M448)
+SUMIF('UFCA - JN'!I424:I448,Criterios!E9,'UFCA - JN'!M424:M448)</f>
        <v>181.64</v>
      </c>
      <c r="G92" s="15">
        <f>SUMIF('UFCA - JN'!I424:I448,Criterios!F4,'UFCA - JN'!M424:M448)</f>
        <v>25.779999999999998</v>
      </c>
      <c r="H92" s="28">
        <f t="shared" si="6"/>
        <v>751.4899999999999</v>
      </c>
      <c r="K92" s="2">
        <f>SUM('UFCA - JN'!M424:M448)</f>
        <v>751.48999999999967</v>
      </c>
      <c r="L92" s="2">
        <f t="shared" si="7"/>
        <v>0</v>
      </c>
      <c r="M92">
        <f>SUMIF('UFCA - JN'!$F$4:$F$825,'TOTAL - JN'!A17,'UFCA - JN'!$M$4:$M$825)</f>
        <v>751.48999999999967</v>
      </c>
    </row>
    <row r="93" spans="1:13">
      <c r="A93" s="26" t="s">
        <v>511</v>
      </c>
      <c r="B93" s="15">
        <f>SUMIFS('UFCA - JN'!M449:M549,'UFCA - JN'!I449:I549,Criterios!A4,
'UFCA - JN'!P449:P549,Criterios!A19)
+SUMIFS('UFCA - JN'!M449:M549,'UFCA - JN'!I449:I549,Criterios!A5,
'UFCA - JN'!P449:P549,Criterios!A19)
+SUMIFS('UFCA - JN'!M449:M549,'UFCA - JN'!I449:I549,Criterios!A6,
'UFCA - JN'!P449:P549,Criterios!A19)
+SUMIFS('UFCA - JN'!M449:M549,'UFCA - JN'!I449:I549,Criterios!A7,
'UFCA - JN'!P449:P549,Criterios!A19)
+SUMIFS('UFCA - JN'!M449:M549,'UFCA - JN'!I449:I549,Criterios!A8,
'UFCA - JN'!P449:P549,Criterios!A19)
+SUMIFS('UFCA - JN'!M449:M549,'UFCA - JN'!I449:I549,Criterios!A9,
'UFCA - JN'!P449:P549,Criterios!A19)
+SUMIFS('UFCA - JN'!M449:M549,'UFCA - JN'!I449:I549,Criterios!A10,
'UFCA - JN'!P449:P549,Criterios!A19)
+SUMIFS('UFCA - JN'!M449:M549,'UFCA - JN'!I449:I549,Criterios!A11,
'UFCA - JN'!P449:P549,Criterios!A19)
+SUMIFS('UFCA - JN'!M449:M549,'UFCA - JN'!I449:I549,Criterios!A12,
'UFCA - JN'!P449:P549,Criterios!A19)
+SUMIFS('UFCA - JN'!M449:M549,'UFCA - JN'!I449:I549,Criterios!A13,
'UFCA - JN'!P449:P549,Criterios!A19)
+SUMIFS('UFCA - JN'!M449:M549,'UFCA - JN'!I449:I549,Criterios!A14,
'UFCA - JN'!P449:P549,Criterios!A19)
+SUMIFS('UFCA - JN'!M449:M549,'UFCA - JN'!I449:I549,Criterios!A15,
'UFCA - JN'!P449:P549,Criterios!A19)</f>
        <v>2167.1699999999996</v>
      </c>
      <c r="C93" s="15">
        <f>SUMIFS('UFCA - JN'!M449:M549,'UFCA - JN'!I449:I549,Criterios!B4,
'UFCA - JN'!P449:P549,Criterios!B19)
+SUMIFS('UFCA - JN'!M449:M549,'UFCA - JN'!I449:I549,Criterios!B5,
'UFCA - JN'!P449:P549,Criterios!B19)
+SUMIFS('UFCA - JN'!M449:M549,'UFCA - JN'!I449:I549,Criterios!B6,
'UFCA - JN'!P449:P549,Criterios!B19)
+SUMIFS('UFCA - JN'!M449:M549,'UFCA - JN'!I449:I549,Criterios!B7,
'UFCA - JN'!P449:P549,Criterios!B19)
+SUMIFS('UFCA - JN'!M449:M549,'UFCA - JN'!I449:I549,Criterios!B8,
'UFCA - JN'!P449:P549,Criterios!B19)
+SUMIFS('UFCA - JN'!M449:M549,'UFCA - JN'!I449:I549,Criterios!A4,
'UFCA - JN'!P449:P549,Criterios!B19)
+SUMIFS('UFCA - JN'!M449:M549,'UFCA - JN'!I449:I549,Criterios!A5,
'UFCA - JN'!P449:P549,Criterios!B19)
+SUMIFS('UFCA - JN'!M449:M549,'UFCA - JN'!I449:I549,Criterios!A6,
'UFCA - JN'!P449:P549,Criterios!B19)
+SUMIFS('UFCA - JN'!M449:M549,'UFCA - JN'!I449:I549,Criterios!A8,
'UFCA - JN'!P449:P549,Criterios!B19)
+SUMIFS('UFCA - JN'!M449:M549,'UFCA - JN'!I449:I549,Criterios!A11,
'UFCA - JN'!P449:P549,Criterios!B19)
+SUMIFS('UFCA - JN'!M449:M549,'UFCA - JN'!I449:I549,Criterios!A12,
'UFCA - JN'!P449:P549,Criterios!B19)
+SUMIFS('UFCA - JN'!M449:M549,'UFCA - JN'!I449:I549,Criterios!A13,
'UFCA - JN'!P449:P549,Criterios!B19)
+SUMIFS('UFCA - JN'!M449:M549,'UFCA - JN'!I449:I549,Criterios!A14,
'UFCA - JN'!P449:P549,Criterios!B19)</f>
        <v>18</v>
      </c>
      <c r="D93" s="15" t="s">
        <v>100</v>
      </c>
      <c r="E93" s="15" t="s">
        <v>100</v>
      </c>
      <c r="F93" s="32">
        <f>SUMIF('UFCA - JN'!I449:I549,Criterios!E4,'UFCA - JN'!M449:M549)
+SUMIF('UFCA - JN'!I449:I549,Criterios!E5,'UFCA - JN'!M449:M549)
+SUMIF('UFCA - JN'!I449:I549,Criterios!E6,'UFCA - JN'!M449:M549)
+SUMIF('UFCA - JN'!I449:I549,Criterios!E7,'UFCA - JN'!M449:M549)
+SUMIF('UFCA - JN'!I449:I549,Criterios!E8,'UFCA - JN'!M449:M549)
+SUMIF('UFCA - JN'!I449:I549,Criterios!E9,'UFCA - JN'!M449:M549)</f>
        <v>601.32000000000005</v>
      </c>
      <c r="G93" s="15">
        <f>SUMIF('UFCA - JN'!I449:I549,Criterios!F4,'UFCA - JN'!M449:M549)</f>
        <v>185.82</v>
      </c>
      <c r="H93" s="28">
        <f t="shared" si="6"/>
        <v>2972.31</v>
      </c>
      <c r="K93">
        <f>SUM('UFCA - JN'!M449:M549)</f>
        <v>2972.3099999999986</v>
      </c>
      <c r="L93" s="2">
        <f t="shared" si="7"/>
        <v>0</v>
      </c>
      <c r="M93">
        <f>SUMIF('UFCA - JN'!$F$4:$F$825,'TOTAL - JN'!A18,'UFCA - JN'!$M$4:$M$825)</f>
        <v>2972.3099999999986</v>
      </c>
    </row>
    <row r="94" spans="1:13">
      <c r="A94" s="26" t="s">
        <v>512</v>
      </c>
      <c r="B94" s="15">
        <f>SUMIFS('UFCA - JN'!M550:M577,'UFCA - JN'!I550:I577,Criterios!A4,
'UFCA - JN'!P550:P577,Criterios!A19)
+SUMIFS('UFCA - JN'!M550:M577,'UFCA - JN'!I550:I577,Criterios!A5,
'UFCA - JN'!P550:P577,Criterios!A19)
+SUMIFS('UFCA - JN'!M550:M577,'UFCA - JN'!I550:I577,Criterios!A6,
'UFCA - JN'!P550:P577,Criterios!A19)
+SUMIFS('UFCA - JN'!M550:M577,'UFCA - JN'!I550:I577,Criterios!A7,
'UFCA - JN'!P550:P577,Criterios!A19)
+SUMIFS('UFCA - JN'!M550:M577,'UFCA - JN'!I550:I577,Criterios!A8,
'UFCA - JN'!P550:P577,Criterios!A19)
+SUMIFS('UFCA - JN'!M550:M577,'UFCA - JN'!I550:I577,Criterios!A9,
'UFCA - JN'!P550:P577,Criterios!A19)</f>
        <v>113.22000000000001</v>
      </c>
      <c r="C94" s="15" t="s">
        <v>100</v>
      </c>
      <c r="D94" s="15">
        <f>SUMIF('UFCA - JN'!I550:I577,Criterios!C4,'UFCA - JN'!M550:M577)</f>
        <v>459.64000000000004</v>
      </c>
      <c r="E94" s="15" t="s">
        <v>100</v>
      </c>
      <c r="F94" s="15">
        <f>SUMIF('UFCA - JN'!I550:I577,Criterios!E4,'UFCA - JN'!M550:M577)
+SUMIF('UFCA - JN'!I550:I577,Criterios!E5,'UFCA - JN'!M550:M577)
+SUMIF('UFCA - JN'!I550:I577,Criterios!E6,'UFCA - JN'!M550:M577)
+SUMIF('UFCA - JN'!I550:I577,Criterios!E7,'UFCA - JN'!M550:M577)
+SUMIF('UFCA - JN'!I550:I577,Criterios!E8,'UFCA - JN'!M550:M577)
+SUMIF('UFCA - JN'!I550:I577,Criterios!E9,'UFCA - JN'!M550:M577)</f>
        <v>147.38999999999999</v>
      </c>
      <c r="G94" s="15">
        <f>SUMIF('UFCA - JN'!I550:I577,Criterios!F4,'UFCA - JN'!M550:M577)</f>
        <v>26.11</v>
      </c>
      <c r="H94" s="28">
        <f t="shared" si="6"/>
        <v>746.36</v>
      </c>
      <c r="K94" s="2">
        <f>SUM('UFCA - JN'!M550:M577)</f>
        <v>746.35999999999967</v>
      </c>
      <c r="L94" s="2">
        <f t="shared" si="7"/>
        <v>0</v>
      </c>
      <c r="M94">
        <f>SUMIF('UFCA - JN'!$F$4:$F$825,'TOTAL - JN'!A19,'UFCA - JN'!$M$4:$M$825)</f>
        <v>746.35999999999967</v>
      </c>
    </row>
    <row r="95" spans="1:13">
      <c r="A95" s="158" t="s">
        <v>1906</v>
      </c>
      <c r="B95" s="15">
        <f>SUMIFS('UFCA - JN'!M578:M760,'UFCA - JN'!I578:I760,Criterios!A4,
'UFCA - JN'!P578:P760,Criterios!A19)
+SUMIFS('UFCA - JN'!M578:M760,'UFCA - JN'!I578:I760,Criterios!A5,
'UFCA - JN'!P578:P760,Criterios!A19)
+SUMIFS('UFCA - JN'!M578:M760,'UFCA - JN'!I578:I760,Criterios!A6,
'UFCA - JN'!P578:P760,Criterios!A19)
+SUMIFS('UFCA - JN'!M578:M760,'UFCA - JN'!I578:I760,Criterios!A7,
'UFCA - JN'!P578:P760,Criterios!A19)
+SUMIFS('UFCA - JN'!M578:M760,'UFCA - JN'!I578:I760,Criterios!A8,
'UFCA - JN'!P578:P760,Criterios!A19)
+SUMIFS('UFCA - JN'!M578:M760,'UFCA - JN'!I578:I760,Criterios!A9,
'UFCA - JN'!P578:P760,Criterios!A19)
+SUMIFS('UFCA - JN'!M578:M760,'UFCA - JN'!I578:I760,Criterios!A10,
'UFCA - JN'!P578:P760,Criterios!A19)
+SUMIFS('UFCA - JN'!M578:M760,'UFCA - JN'!I578:I760,Criterios!A11,
'UFCA - JN'!P578:P760,Criterios!A19)
+SUMIFS('UFCA - JN'!M578:M760,'UFCA - JN'!I578:I760,Criterios!A12,
'UFCA - JN'!P578:P760,Criterios!A19)
+SUMIFS('UFCA - JN'!M578:M760,'UFCA - JN'!I578:I760,Criterios!A13,
'UFCA - JN'!P578:P760,Criterios!A19)
+SUMIFS('UFCA - JN'!M578:M760,'UFCA - JN'!I578:I760,Criterios!A14,
'UFCA - JN'!P578:P760,Criterios!A19)
+SUMIFS('UFCA - JN'!M578:M760,'UFCA - JN'!I578:I760,Criterios!A15,
'UFCA - JN'!P578:P760,Criterios!A19)</f>
        <v>1876.9899999999975</v>
      </c>
      <c r="C95" s="15">
        <f>SUMIFS('UFCA - JN'!M578:M760,'UFCA - JN'!I578:I760,Criterios!B4,
'UFCA - JN'!P578:P760,Criterios!B19)
+SUMIFS('UFCA - JN'!M578:M760,'UFCA - JN'!I578:I760,Criterios!B5,
'UFCA - JN'!P578:P760,Criterios!B19)
+SUMIFS('UFCA - JN'!M578:M760,'UFCA - JN'!I578:I760,Criterios!B6,
'UFCA - JN'!P578:P760,Criterios!B19)
+SUMIFS('UFCA - JN'!M578:M760,'UFCA - JN'!I578:I760,Criterios!B7,
'UFCA - JN'!P578:P760,Criterios!B19)
+SUMIFS('UFCA - JN'!M578:M760,'UFCA - JN'!I578:I760,Criterios!B8,
'UFCA - JN'!P578:P760,Criterios!B19)
+SUMIFS('UFCA - JN'!M578:M760,'UFCA - JN'!I578:I760,Criterios!A4,
'UFCA - JN'!P578:P760,Criterios!B19)
+SUMIFS('UFCA - JN'!M578:M760,'UFCA - JN'!I578:I760,Criterios!A5,
'UFCA - JN'!P578:P760,Criterios!B19)
+SUMIFS('UFCA - JN'!M578:M760,'UFCA - JN'!I578:I760,Criterios!A6,
'UFCA - JN'!P578:P760,Criterios!B19)
+SUMIFS('UFCA - JN'!M578:M760,'UFCA - JN'!I578:I760,Criterios!A8,
'UFCA - JN'!P578:P760,Criterios!B19)
+SUMIFS('UFCA - JN'!M578:M760,'UFCA - JN'!I578:I760,Criterios!A11,
'UFCA - JN'!P578:P760,Criterios!B19)
+SUMIFS('UFCA - JN'!M578:M760,'UFCA - JN'!I578:I760,Criterios!A12,
'UFCA - JN'!P578:P760,Criterios!B19)
+SUMIFS('UFCA - JN'!M578:M760,'UFCA - JN'!I578:I760,Criterios!A13,
'UFCA - JN'!P578:P760,Criterios!B19)
+SUMIFS('UFCA - JN'!M578:M760,'UFCA - JN'!I578:I760,Criterios!A14,
'UFCA - JN'!P578:P760,Criterios!B19)</f>
        <v>29.01</v>
      </c>
      <c r="D95" s="15" t="s">
        <v>100</v>
      </c>
      <c r="E95" s="15" t="s">
        <v>100</v>
      </c>
      <c r="F95" s="15">
        <f>SUMIF('UFCA - JN'!I578:I760,Criterios!E4,'UFCA - JN'!M578:M760)
+SUMIF('UFCA - JN'!I578:I760,Criterios!E5,'UFCA - JN'!M578:M760)
+SUMIF('UFCA - JN'!I578:I760,Criterios!E6,'UFCA - JN'!M578:M760)
+SUMIF('UFCA - JN'!I578:I760,Criterios!E7,'UFCA - JN'!M578:M760)
+SUMIF('UFCA - JN'!I578:I760,Criterios!E8,'UFCA - JN'!M578:M760)
+SUMIF('UFCA - JN'!I578:I760,Criterios!E9,'UFCA - JN'!M578:M760)</f>
        <v>549.55999999999995</v>
      </c>
      <c r="G95" s="15">
        <f>SUMIF('UFCA - JN'!I578:I760,Criterios!F4,'UFCA - JN'!M578:M760)
+SUMIF('UFCA - JN'!I578:I760,Criterios!F8,'UFCA - JN'!M578:M760)</f>
        <v>289.82999999999981</v>
      </c>
      <c r="H95" s="28">
        <f t="shared" si="6"/>
        <v>2745.3899999999976</v>
      </c>
      <c r="K95" s="2">
        <f>SUM('UFCA - JN'!M578:M760)</f>
        <v>2745.3899999999981</v>
      </c>
      <c r="L95" s="2">
        <f t="shared" si="7"/>
        <v>0</v>
      </c>
      <c r="M95">
        <f>SUMIF('UFCA - JN'!$F$4:$F$825,'UFCA - JN'!F594,'UFCA - JN'!$M$4:$M$825)</f>
        <v>2745.3899999999981</v>
      </c>
    </row>
    <row r="96" spans="1:13">
      <c r="A96" s="158" t="s">
        <v>1907</v>
      </c>
      <c r="B96" s="15">
        <f>SUMIF('UFCA - JN'!I761:I778,Criterios!A9,'UFCA - JN'!M761:M778)</f>
        <v>5.0599999999999996</v>
      </c>
      <c r="C96" s="15" t="s">
        <v>100</v>
      </c>
      <c r="D96" s="15" t="s">
        <v>100</v>
      </c>
      <c r="E96" s="15" t="s">
        <v>100</v>
      </c>
      <c r="F96" s="15">
        <f>SUMIF('UFCA - JN'!I761:I778,Criterios!E4,'UFCA - JN'!M761:M778)
+SUMIF('UFCA - JN'!I761:I778,Criterios!E5,'UFCA - JN'!M761:M778)
+SUMIF('UFCA - JN'!I761:I778,Criterios!E6,'UFCA - JN'!M761:M778)
+SUMIF('UFCA - JN'!I761:I778,Criterios!E7,'UFCA - JN'!M761:M778)
+SUMIF('UFCA - JN'!I761:I778,Criterios!E8,'UFCA - JN'!M761:M778)
+SUMIF('UFCA - JN'!I761:I778,Criterios!E9,'UFCA - JN'!M761:M778)</f>
        <v>1345.74</v>
      </c>
      <c r="G96" s="15">
        <f>SUMIF('UFCA - JN'!I761:I778,Criterios!F4,'UFCA - JN'!M761:M778)</f>
        <v>74.16</v>
      </c>
      <c r="H96" s="28">
        <f t="shared" si="6"/>
        <v>1424.96</v>
      </c>
      <c r="K96" s="2">
        <f>SUM('UFCA - JN'!M761:M778)</f>
        <v>1424.9599999999998</v>
      </c>
      <c r="L96" s="2">
        <f t="shared" si="7"/>
        <v>0</v>
      </c>
      <c r="M96">
        <f>SUMIF('UFCA - JN'!$F$4:$F$825,'TOTAL - JN'!A21,'UFCA - JN'!$M$4:$M$825)</f>
        <v>0</v>
      </c>
    </row>
    <row r="97" spans="1:13">
      <c r="A97" s="158" t="s">
        <v>564</v>
      </c>
      <c r="B97" s="15">
        <f>SUMIF('UFCA - JN'!I779:I786,Criterios!A4,'UFCA - JN'!M779:M786)
+SUMIF('UFCA - JN'!I779:I786,Criterios!A9,'UFCA - JN'!M779:M786)
+SUMIF('UFCA - JN'!I779:I786,Criterios!A10,'UFCA - JN'!M779:M786)
+SUMIF('UFCA - JN'!I779:I786,Criterios!A12,'UFCA - JN'!M779:M786)</f>
        <v>82.550000000000011</v>
      </c>
      <c r="C97" s="15" t="s">
        <v>100</v>
      </c>
      <c r="D97" s="15" t="s">
        <v>100</v>
      </c>
      <c r="E97" s="15" t="s">
        <v>100</v>
      </c>
      <c r="F97" s="15">
        <f>SUMIF('UFCA - JN'!I779:I786,Criterios!E4,'UFCA - JN'!M779:M786)
+SUMIF('UFCA - JN'!I779:I786,Criterios!E5,'UFCA - JN'!M779:M786)
+SUMIF('UFCA - JN'!I779:I786,Criterios!E6,'UFCA - JN'!M779:M786)
+SUMIF('UFCA - JN'!I779:I786,Criterios!E7,'UFCA - JN'!M779:M786)
+SUMIF('UFCA - JN'!I779:I786,Criterios!E8,'UFCA - JN'!M779:M786)
+SUMIF('UFCA - JN'!I779:I786,Criterios!E9,'UFCA - JN'!M779:M786)</f>
        <v>321.90000000000003</v>
      </c>
      <c r="G97" s="15">
        <f>SUMIF('UFCA - JN'!I779:I786,Criterios!F4,'UFCA - JN'!M779:M786)</f>
        <v>2.36</v>
      </c>
      <c r="H97" s="28">
        <f t="shared" si="6"/>
        <v>406.81000000000006</v>
      </c>
      <c r="K97" s="2">
        <f>SUM('UFCA - JN'!M779:M786)</f>
        <v>406.81</v>
      </c>
      <c r="L97" s="2">
        <f t="shared" si="7"/>
        <v>0</v>
      </c>
      <c r="M97">
        <f>SUMIF('UFCA - JN'!$F$4:$F$825,'TOTAL - JN'!A22,'UFCA - JN'!$M$4:$M$825)</f>
        <v>406.81</v>
      </c>
    </row>
    <row r="98" spans="1:13">
      <c r="A98" s="158" t="s">
        <v>1903</v>
      </c>
      <c r="B98" s="15" t="s">
        <v>100</v>
      </c>
      <c r="C98" s="15" t="s">
        <v>100</v>
      </c>
      <c r="D98" s="15" t="s">
        <v>100</v>
      </c>
      <c r="E98" s="15" t="s">
        <v>100</v>
      </c>
      <c r="F98" s="15">
        <f>SUMIF('UFCA - JN'!I787:I800,Criterios!E4,'UFCA - JN'!M787:M800)
+SUMIF('UFCA - JN'!I787:I800,Criterios!E5,'UFCA - JN'!M787:M800)
+SUMIF('UFCA - JN'!I787:I800,Criterios!E6,'UFCA - JN'!M787:M800)
+SUMIF('UFCA - JN'!I787:I800,Criterios!E7,'UFCA - JN'!M787:M800)
+SUMIF('UFCA - JN'!I787:I800,Criterios!E8,'UFCA - JN'!M787:M800)
+SUMIF('UFCA - JN'!I787:I800,Criterios!E9,'UFCA - JN'!M787:M800)</f>
        <v>3472.25</v>
      </c>
      <c r="G98" s="15" t="s">
        <v>100</v>
      </c>
      <c r="H98" s="28">
        <f t="shared" si="6"/>
        <v>3472.25</v>
      </c>
      <c r="K98" s="2">
        <f>SUM('UFCA - JN'!M787:M800)</f>
        <v>3472.2499999999995</v>
      </c>
      <c r="L98" s="2">
        <f t="shared" si="7"/>
        <v>0</v>
      </c>
      <c r="M98">
        <f>SUMIF('UFCA - JN'!$F$4:$F$825,'TOTAL - JN'!A23,'UFCA - JN'!$M$4:$M$825)</f>
        <v>0</v>
      </c>
    </row>
    <row r="99" spans="1:13">
      <c r="A99" s="158" t="s">
        <v>606</v>
      </c>
      <c r="B99" s="15" t="s">
        <v>100</v>
      </c>
      <c r="C99" s="15">
        <f>'UFCA - JN'!M801</f>
        <v>5.6</v>
      </c>
      <c r="D99" s="15" t="s">
        <v>100</v>
      </c>
      <c r="E99" s="15" t="s">
        <v>100</v>
      </c>
      <c r="F99" s="15"/>
      <c r="G99" s="15">
        <f>'UFCA - JN'!M802</f>
        <v>1.7</v>
      </c>
      <c r="H99" s="28">
        <f t="shared" si="6"/>
        <v>7.3</v>
      </c>
      <c r="K99" s="2">
        <f>SUM('UFCA - JN'!M801:M802)</f>
        <v>7.3</v>
      </c>
      <c r="L99" s="2">
        <f t="shared" si="7"/>
        <v>0</v>
      </c>
      <c r="M99">
        <f>SUMIF('UFCA - JN'!$F$4:$F$825,'TOTAL - JN'!A24,'UFCA - JN'!$M$4:$M$825)</f>
        <v>7.3</v>
      </c>
    </row>
    <row r="100" spans="1:13">
      <c r="A100" s="26" t="s">
        <v>2369</v>
      </c>
      <c r="B100" s="15">
        <f>SUM('UFCA - JN'!M826:M859)-C62-D62-F62-G62</f>
        <v>953.85999999999967</v>
      </c>
      <c r="C100" s="15">
        <f>SUMIFS('UFCA - JN'!M826:M859,'UFCA - JN'!I826:I859,Criterios!B4,
'UFCA - JN'!P826:P859,Criterios!B19)
+SUMIFS('UFCA - JN'!M826:M859,'UFCA - JN'!I826:I859,Criterios!B5,
'UFCA - JN'!P826:P859,Criterios!B19)
+SUMIFS('UFCA - JN'!M826:M859,'UFCA - JN'!I826:I859,Criterios!B8,
'UFCA - JN'!P826:P859,Criterios!B19)
+SUMIFS('UFCA - JN'!M826:M859,'UFCA - JN'!I826:I859,Criterios!A4,
'UFCA - JN'!P826:P859,Criterios!B19)
+SUMIFS('UFCA - JN'!M826:M859,'UFCA - JN'!I826:I859,Criterios!A5,
'UFCA - JN'!P826:P859,Criterios!B19)
+SUMIFS('UFCA - JN'!M826:M859,'UFCA - JN'!I826:I859,Criterios!A6,
'UFCA - JN'!P826:P859,Criterios!B19)
+SUMIFS('UFCA - JN'!M826:M859,'UFCA - JN'!I826:I859,Criterios!A8,
'UFCA - JN'!P826:P859,Criterios!B19)
+SUMIFS('UFCA - JN'!M826:M859,'UFCA - JN'!I826:I859,Criterios!A12,
'UFCA - JN'!P826:P859,Criterios!B19)
+SUMIFS('UFCA - JN'!M826:M859,'UFCA - JN'!I826:I859,Criterios!A13,
'UFCA - JN'!P826:P859,Criterios!B19)
+SUMIFS('UFCA - JN'!M826:M859,'UFCA - JN'!I826:I859,Criterios!A14,
'UFCA - JN'!P826:P859,Criterios!B19)</f>
        <v>3.02</v>
      </c>
      <c r="D100" s="15">
        <f>SUMIF('UFCA - JN'!I826:I859,Criterios!C4,'UFCA - JN'!M826:M859)</f>
        <v>0</v>
      </c>
      <c r="E100" s="15"/>
      <c r="F100" s="15">
        <f>SUMIF('UFCA - JN'!I826:I859,Criterios!E4,'UFCA - JN'!M826:M859)
+SUMIF('UFCA - JN'!I826:I859,Criterios!E5,'UFCA - JN'!M826:M859)
+SUMIF('UFCA - JN'!I826:I859,Criterios!E6,'UFCA - JN'!M826:M859)
+SUMIF('UFCA - JN'!I826:I859,Criterios!E7,'UFCA - JN'!M826:M859)
+SUMIF('UFCA - JN'!I826:I859,Criterios!E8,'UFCA - JN'!M826:M859)
+SUMIF('UFCA - JN'!I826:I859,Criterios!E9,'UFCA - JN'!M826:M859)</f>
        <v>238.92000000000002</v>
      </c>
      <c r="G100" s="15">
        <f>SUMIF('UFCA - JN'!I826:I859,Criterios!F4,'UFCA - JN'!M826:M859)</f>
        <v>92.56</v>
      </c>
      <c r="H100" s="28">
        <f>SUM(B62:G62)</f>
        <v>1288.3599999999997</v>
      </c>
      <c r="K100" s="2">
        <f>SUM('UFCA - JN'!M826:M859)</f>
        <v>1288.3599999999997</v>
      </c>
      <c r="L100" s="2">
        <f>K62-H62</f>
        <v>0</v>
      </c>
      <c r="M100">
        <f>SUMIF('UFCA - JN'!$F$4:$F$825,'TOTAL - JN'!A62,'UFCA - JN'!$M$4:$M$825)</f>
        <v>0</v>
      </c>
    </row>
    <row r="101" spans="1:13">
      <c r="A101" s="116" t="s">
        <v>2450</v>
      </c>
      <c r="B101" s="15">
        <f>SUM('UFCA - JN'!M874:M888)-C63-D63-F63-G63</f>
        <v>706.10999999999979</v>
      </c>
      <c r="C101" s="15">
        <f>SUMIFS('UFCA - JN'!M874:M888,'UFCA - JN'!I874:I888,Criterios!B4,
'UFCA - JN'!P874:P888,Criterios!B19)
+SUMIFS('UFCA - JN'!M874:M888,'UFCA - JN'!I874:I888,Criterios!B5,
'UFCA - JN'!P874:P888,Criterios!B19)
+SUMIFS('UFCA - JN'!M874:M888,'UFCA - JN'!I874:I888,Criterios!B8,
'UFCA - JN'!P874:P888,Criterios!B19)
+SUMIFS('UFCA - JN'!M874:M888,'UFCA - JN'!I874:I888,Criterios!A4,
'UFCA - JN'!P874:P888,Criterios!B19)
+SUMIFS('UFCA - JN'!M874:M888,'UFCA - JN'!I874:I888,Criterios!A5,
'UFCA - JN'!P874:P888,Criterios!B19)
+SUMIFS('UFCA - JN'!M874:M888,'UFCA - JN'!I874:I888,Criterios!A6,
'UFCA - JN'!P874:P888,Criterios!B19)
+SUMIFS('UFCA - JN'!M874:M888,'UFCA - JN'!I874:I888,Criterios!A8,
'UFCA - JN'!P874:P888,Criterios!B19)
+SUMIFS('UFCA - JN'!M874:M888,'UFCA - JN'!I874:I888,Criterios!A12,
'UFCA - JN'!P874:P888,Criterios!B19)
+SUMIFS('UFCA - JN'!M874:M888,'UFCA - JN'!I874:I888,Criterios!A13,
'UFCA - JN'!P874:P888,Criterios!B19)
+SUMIFS('UFCA - JN'!M874:M888,'UFCA - JN'!I874:I888,Criterios!A14,
'UFCA - JN'!P874:P888,Criterios!B19)</f>
        <v>2.85</v>
      </c>
      <c r="D101" s="15">
        <f>SUMIF('UFCA - JN'!I874:I888,Criterios!C4,'UFCA - JN'!M874:M888)</f>
        <v>0</v>
      </c>
      <c r="E101" s="15"/>
      <c r="F101" s="15">
        <f>SUMIF('UFCA - JN'!I874:I888,Criterios!E4,'UFCA - JN'!M874:M888)
+SUMIF('UFCA - JN'!I874:I888,Criterios!E5,'UFCA - JN'!M874:M888)
+SUMIF('UFCA - JN'!I874:I888,Criterios!E6,'UFCA - JN'!M874:M888)
+SUMIF('UFCA - JN'!I874:I888,Criterios!E7,'UFCA - JN'!M874:M888)
+SUMIF('UFCA - JN'!I874:I888,Criterios!E8,'UFCA - JN'!M874:M888)
+SUMIF('UFCA - JN'!I874:I888,Criterios!E9,'UFCA - JN'!M874:M888)</f>
        <v>23.44</v>
      </c>
      <c r="G101" s="15">
        <f>SUMIF('UFCA - JN'!I874:I888,Criterios!F4,'UFCA - JN'!M874:M888)</f>
        <v>39.65</v>
      </c>
      <c r="H101" s="28">
        <f>SUM(B63:G63)</f>
        <v>772.04999999999984</v>
      </c>
      <c r="K101" s="2">
        <f>SUM('UFCA - JN'!M874:M888)</f>
        <v>772.04999999999984</v>
      </c>
      <c r="L101" s="2">
        <f>K63-H63</f>
        <v>0</v>
      </c>
      <c r="M101">
        <f>SUMIF('UFCA - JN'!$F$4:$F$825,'TOTAL - JN'!A63,'UFCA - JN'!$M$4:$M$825)</f>
        <v>0</v>
      </c>
    </row>
    <row r="102" spans="1:13">
      <c r="A102" s="26" t="s">
        <v>246</v>
      </c>
      <c r="B102" s="15"/>
      <c r="C102" s="15"/>
      <c r="D102" s="15"/>
      <c r="E102" s="15"/>
      <c r="F102" s="15">
        <f>'UFCA - JN'!M889</f>
        <v>338.1</v>
      </c>
      <c r="G102" s="15"/>
      <c r="H102" s="28">
        <f>SUM(B64:G64)</f>
        <v>338.1</v>
      </c>
      <c r="K102" s="2">
        <f>'UFCA - JN'!M889</f>
        <v>338.1</v>
      </c>
      <c r="L102" s="2">
        <f>K64-H64</f>
        <v>0</v>
      </c>
    </row>
    <row r="103" spans="1:13">
      <c r="A103" s="469" t="s">
        <v>3</v>
      </c>
      <c r="B103" s="462">
        <f>SUM('UFCA - JN'!M895:M923)-C103-D103-F103-G103</f>
        <v>937.16000000000008</v>
      </c>
      <c r="C103" s="462">
        <f>SUMIFS('UFCA - JN'!M895:M923,'UFCA - JN'!I895:I923,Criterios!B4,
'UFCA - JN'!P895:P923,Criterios!B19)
+SUMIFS('UFCA - JN'!M895:M923,'UFCA - JN'!I895:I923,Criterios!B5,
'UFCA - JN'!P895:P923,Criterios!B19)
+SUMIFS('UFCA - JN'!M895:M923,'UFCA - JN'!I895:I923,Criterios!B8,
'UFCA - JN'!P895:P923,Criterios!B19)
+SUMIFS('UFCA - JN'!M895:M923,'UFCA - JN'!I895:I923,Criterios!A4,
'UFCA - JN'!P895:P923,Criterios!B19)
+SUMIFS('UFCA - JN'!M895:M923,'UFCA - JN'!I895:I923,Criterios!A5,
'UFCA - JN'!P895:P923,Criterios!B19)
+SUMIFS('UFCA - JN'!M895:M923,'UFCA - JN'!I895:I923,Criterios!A6,
'UFCA - JN'!P895:P923,Criterios!B19)
+SUMIFS('UFCA - JN'!M895:M923,'UFCA - JN'!I895:I923,Criterios!A8,
'UFCA - JN'!P895:P923,Criterios!B19)
+SUMIFS('UFCA - JN'!M895:M923,'UFCA - JN'!I895:I923,Criterios!A12,
'UFCA - JN'!P895:P923,Criterios!B19)
+SUMIFS('UFCA - JN'!M895:M923,'UFCA - JN'!I895:I923,Criterios!A13,
'UFCA - JN'!P895:P923,Criterios!B19)
+SUMIFS('UFCA - JN'!M895:M923,'UFCA - JN'!I895:I923,Criterios!A14,
'UFCA - JN'!P895:P923,Criterios!B19)</f>
        <v>2.1800000000000002</v>
      </c>
      <c r="D103" s="462">
        <f>SUMIF('UFCA - JN'!I895:I923,Criterios!C4,'UFCA - JN'!M895:M923)</f>
        <v>0</v>
      </c>
      <c r="E103" s="462"/>
      <c r="F103" s="462">
        <f>SUMIF('UFCA - JN'!I895:I923,Criterios!E4,'UFCA - JN'!M895:M923)
+SUMIF('UFCA - JN'!I895:I923,Criterios!E5,'UFCA - JN'!M895:M923)
+SUMIF('UFCA - JN'!I895:I923,Criterios!E6,'UFCA - JN'!M895:M923)
+SUMIF('UFCA - JN'!I895:I923,Criterios!E7,'UFCA - JN'!M895:M923)
+SUMIF('UFCA - JN'!I895:I923,Criterios!E8,'UFCA - JN'!M895:M923)
+SUMIF('UFCA - JN'!I895:I923,Criterios!E9,'UFCA - JN'!M895:M923)</f>
        <v>120.57000000000001</v>
      </c>
      <c r="G103" s="462">
        <f>SUMIF('UFCA - JN'!I895:I923,Criterios!F4,'UFCA - JN'!M895:M923)</f>
        <v>38.679999999999993</v>
      </c>
      <c r="H103" s="470">
        <f t="shared" ref="H103" si="8">SUM(B103:G103)</f>
        <v>1098.5900000000001</v>
      </c>
      <c r="K103" s="2">
        <f>SUM('UFCA - JN'!M895:M923)</f>
        <v>1098.5900000000001</v>
      </c>
      <c r="L103" s="2">
        <f>K103-H103</f>
        <v>0</v>
      </c>
      <c r="M103">
        <f>SUMIF('UFCA - JN'!$F$4:$F$825,'TOTAL - JN'!A103,'UFCA - JN'!$M$4:$M$825)</f>
        <v>0</v>
      </c>
    </row>
    <row r="104" spans="1:13">
      <c r="A104" s="452" t="s">
        <v>563</v>
      </c>
      <c r="B104" s="33">
        <f>TRUNC(SUM(B81:B103),2)</f>
        <v>15872.87</v>
      </c>
      <c r="C104" s="33">
        <f t="shared" ref="C104:H104" si="9">TRUNC(SUM(C81:C103),2)</f>
        <v>1292.17</v>
      </c>
      <c r="D104" s="33">
        <f t="shared" si="9"/>
        <v>1534.17</v>
      </c>
      <c r="E104" s="33">
        <f t="shared" si="9"/>
        <v>555.5</v>
      </c>
      <c r="F104" s="33">
        <f t="shared" si="9"/>
        <v>10453.450000000001</v>
      </c>
      <c r="G104" s="33">
        <f t="shared" si="9"/>
        <v>1575.82</v>
      </c>
      <c r="H104" s="33">
        <f t="shared" si="9"/>
        <v>31283.98</v>
      </c>
    </row>
    <row r="105" spans="1:13">
      <c r="A105" s="145"/>
      <c r="B105" s="154"/>
      <c r="C105" s="154"/>
      <c r="D105" s="154"/>
      <c r="E105" s="154"/>
      <c r="F105" s="154"/>
      <c r="G105" s="154"/>
      <c r="H105" s="154"/>
    </row>
    <row r="106" spans="1:13" ht="15" customHeight="1">
      <c r="A106" s="160"/>
      <c r="B106" s="160"/>
      <c r="C106" s="160"/>
      <c r="D106" s="160"/>
      <c r="E106" s="160"/>
      <c r="F106"/>
      <c r="G106"/>
      <c r="H106"/>
    </row>
    <row r="107" spans="1:13">
      <c r="A107" s="714" t="s">
        <v>618</v>
      </c>
      <c r="B107" s="714"/>
      <c r="C107" s="714"/>
      <c r="D107" s="714"/>
      <c r="E107" s="714"/>
      <c r="F107" s="147"/>
      <c r="G107"/>
      <c r="H107"/>
    </row>
    <row r="108" spans="1:13">
      <c r="A108" s="715" t="s">
        <v>600</v>
      </c>
      <c r="B108" s="453" t="s">
        <v>601</v>
      </c>
      <c r="C108" s="453" t="s">
        <v>602</v>
      </c>
      <c r="D108" s="433" t="s">
        <v>615</v>
      </c>
      <c r="E108" s="433" t="s">
        <v>619</v>
      </c>
      <c r="F108"/>
      <c r="G108"/>
      <c r="H108"/>
    </row>
    <row r="109" spans="1:13">
      <c r="A109" s="714"/>
      <c r="B109" s="15">
        <f>SUMIF('UFCA - JN'!I805:I925,Criterios!I4,'UFCA - JN'!M805:M925)</f>
        <v>7511.9772000000003</v>
      </c>
      <c r="C109" s="15">
        <f>SUMIF('UFCA - JN'!I805:I925,Criterios!I6,'UFCA - JN'!M805:M925)</f>
        <v>15404.362700000001</v>
      </c>
      <c r="D109" s="15">
        <f>SUMIF('UFCA - JN'!I805:I925,Criterios!I5,'UFCA - JN'!M805:M925)</f>
        <v>12437.737300000001</v>
      </c>
      <c r="E109" s="15">
        <f>SUMIF('UFCA - JN'!I805:I925,Criterios!I7,'UFCA - JN'!M805:M925)</f>
        <v>10876.414500000001</v>
      </c>
      <c r="F109"/>
      <c r="G109"/>
      <c r="H109"/>
      <c r="J109" s="2"/>
      <c r="K109" s="2"/>
      <c r="L109" s="2"/>
    </row>
    <row r="111" spans="1:13" ht="25.5">
      <c r="A111" s="428"/>
      <c r="B111" s="428" t="s">
        <v>1998</v>
      </c>
      <c r="C111" s="428" t="s">
        <v>1999</v>
      </c>
      <c r="D111" s="428" t="s">
        <v>2000</v>
      </c>
      <c r="E111" s="428" t="s">
        <v>2001</v>
      </c>
    </row>
    <row r="112" spans="1:13">
      <c r="A112" s="428" t="s">
        <v>1997</v>
      </c>
      <c r="B112" s="18">
        <f>TRUNC(SUM('UFCA - Terrenos'!D4:D5),2)</f>
        <v>363200</v>
      </c>
      <c r="C112" s="18">
        <f>TRUNC(SUM('UFCA - edificações'!E4:E31),2)</f>
        <v>38295.82</v>
      </c>
      <c r="D112" s="15">
        <f>TRUNC(SUM(B109:E109),2)</f>
        <v>46230.49</v>
      </c>
      <c r="E112" s="15">
        <f>B112-C112-D112</f>
        <v>278673.69</v>
      </c>
    </row>
  </sheetData>
  <mergeCells count="26">
    <mergeCell ref="A37:H37"/>
    <mergeCell ref="A38:H38"/>
    <mergeCell ref="A39:H39"/>
    <mergeCell ref="A75:H75"/>
    <mergeCell ref="A76:H76"/>
    <mergeCell ref="A40:H40"/>
    <mergeCell ref="A41:A42"/>
    <mergeCell ref="B41:G41"/>
    <mergeCell ref="H41:H42"/>
    <mergeCell ref="A68:E68"/>
    <mergeCell ref="A69:A70"/>
    <mergeCell ref="A29:A30"/>
    <mergeCell ref="A1:H1"/>
    <mergeCell ref="A28:E28"/>
    <mergeCell ref="A2:H2"/>
    <mergeCell ref="B4:G4"/>
    <mergeCell ref="H4:H5"/>
    <mergeCell ref="A4:A5"/>
    <mergeCell ref="A3:H3"/>
    <mergeCell ref="A107:E107"/>
    <mergeCell ref="A108:A109"/>
    <mergeCell ref="A77:H77"/>
    <mergeCell ref="A78:H78"/>
    <mergeCell ref="A79:A80"/>
    <mergeCell ref="B79:G79"/>
    <mergeCell ref="H79:H80"/>
  </mergeCells>
  <conditionalFormatting sqref="A6:H24">
    <cfRule type="expression" dxfId="32" priority="62">
      <formula>MOD(ROW(),2)=0</formula>
    </cfRule>
  </conditionalFormatting>
  <conditionalFormatting sqref="A43:H61">
    <cfRule type="expression" dxfId="31" priority="12">
      <formula>MOD(ROW(),2)=0</formula>
    </cfRule>
  </conditionalFormatting>
  <conditionalFormatting sqref="A81:H102">
    <cfRule type="expression" dxfId="30" priority="2">
      <formula>MOD(ROW(),2)=0</formula>
    </cfRule>
  </conditionalFormatting>
  <conditionalFormatting sqref="L6:L24">
    <cfRule type="cellIs" dxfId="29" priority="61" operator="greaterThan">
      <formula>0</formula>
    </cfRule>
    <cfRule type="cellIs" dxfId="28" priority="64" operator="equal">
      <formula>0</formula>
    </cfRule>
    <cfRule type="cellIs" dxfId="27" priority="65" operator="lessThan">
      <formula>0</formula>
    </cfRule>
    <cfRule type="cellIs" dxfId="26" priority="66" operator="equal">
      <formula>0</formula>
    </cfRule>
  </conditionalFormatting>
  <conditionalFormatting sqref="L30">
    <cfRule type="cellIs" dxfId="25" priority="57" operator="greaterThan">
      <formula>0</formula>
    </cfRule>
    <cfRule type="cellIs" dxfId="24" priority="58" operator="equal">
      <formula>0</formula>
    </cfRule>
    <cfRule type="cellIs" dxfId="23" priority="59" operator="lessThan">
      <formula>0</formula>
    </cfRule>
    <cfRule type="cellIs" dxfId="22" priority="60" operator="equal">
      <formula>0</formula>
    </cfRule>
  </conditionalFormatting>
  <conditionalFormatting sqref="L43:L64">
    <cfRule type="cellIs" dxfId="21" priority="11" operator="greaterThan">
      <formula>0</formula>
    </cfRule>
    <cfRule type="cellIs" dxfId="20" priority="13" operator="equal">
      <formula>0</formula>
    </cfRule>
    <cfRule type="cellIs" dxfId="19" priority="14" operator="lessThan">
      <formula>0</formula>
    </cfRule>
    <cfRule type="cellIs" dxfId="18" priority="15" operator="equal">
      <formula>0</formula>
    </cfRule>
  </conditionalFormatting>
  <conditionalFormatting sqref="L70">
    <cfRule type="cellIs" dxfId="17" priority="48" operator="greaterThan">
      <formula>0</formula>
    </cfRule>
    <cfRule type="cellIs" dxfId="16" priority="49" operator="equal">
      <formula>0</formula>
    </cfRule>
    <cfRule type="cellIs" dxfId="15" priority="50" operator="lessThan">
      <formula>0</formula>
    </cfRule>
    <cfRule type="cellIs" dxfId="14" priority="51" operator="equal">
      <formula>0</formula>
    </cfRule>
  </conditionalFormatting>
  <conditionalFormatting sqref="L81:L103">
    <cfRule type="cellIs" dxfId="13" priority="1" operator="greaterThan">
      <formula>0</formula>
    </cfRule>
    <cfRule type="cellIs" dxfId="12" priority="3" operator="equal">
      <formula>0</formula>
    </cfRule>
    <cfRule type="cellIs" dxfId="11" priority="4" operator="lessThan">
      <formula>0</formula>
    </cfRule>
    <cfRule type="cellIs" dxfId="10" priority="5" operator="equal">
      <formula>0</formula>
    </cfRule>
  </conditionalFormatting>
  <conditionalFormatting sqref="L109">
    <cfRule type="cellIs" dxfId="9" priority="34" operator="greaterThan">
      <formula>0</formula>
    </cfRule>
    <cfRule type="cellIs" dxfId="8" priority="35" operator="equal">
      <formula>0</formula>
    </cfRule>
    <cfRule type="cellIs" dxfId="7" priority="36" operator="lessThan">
      <formula>0</formula>
    </cfRule>
    <cfRule type="cellIs" dxfId="6" priority="37" operator="equal">
      <formula>0</formula>
    </cfRule>
  </conditionalFormatting>
  <pageMargins left="0.98425196850393704" right="0.51181102362204722" top="0.59055118110236227" bottom="0.41" header="0.31496062992125984" footer="0.17"/>
  <pageSetup paperSize="9" scale="84" fitToHeight="0" orientation="landscape" r:id="rId1"/>
  <headerFooter>
    <oddHeader>&amp;C&amp;F&amp;R&amp;A</oddHeader>
    <oddFooter>&amp;LÚLTIMA ATUALIZAÇÃO: 30/05/2025&amp;CUFCA/DINFRA - Pág &amp;P/&amp;N&amp;RSUPERVISÃO DO LEVANTAMENTO: Arq. LOUISE BARBOSA</oddFooter>
  </headerFooter>
  <rowBreaks count="2" manualBreakCount="2">
    <brk id="36" max="8" man="1"/>
    <brk id="73"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8FFC0-9975-4570-B462-A5CF4BD25F6C}">
  <sheetPr>
    <pageSetUpPr fitToPage="1"/>
  </sheetPr>
  <dimension ref="A1:N19"/>
  <sheetViews>
    <sheetView view="pageBreakPreview" zoomScaleNormal="100" zoomScaleSheetLayoutView="100" workbookViewId="0">
      <selection activeCell="Q50" sqref="Q50"/>
    </sheetView>
  </sheetViews>
  <sheetFormatPr defaultRowHeight="15"/>
  <cols>
    <col min="1" max="1" width="22.140625" customWidth="1"/>
    <col min="2" max="2" width="17.7109375" customWidth="1"/>
    <col min="3" max="3" width="18.7109375" customWidth="1"/>
    <col min="4" max="4" width="14.7109375" customWidth="1"/>
    <col min="5" max="5" width="12.28515625" bestFit="1" customWidth="1"/>
    <col min="6" max="6" width="19.28515625" customWidth="1"/>
  </cols>
  <sheetData>
    <row r="1" spans="1:14">
      <c r="A1" s="664" t="s">
        <v>837</v>
      </c>
      <c r="B1" s="665"/>
      <c r="C1" s="665"/>
      <c r="D1" s="665"/>
      <c r="E1" s="666"/>
      <c r="F1" s="667"/>
      <c r="G1" s="667"/>
      <c r="H1" s="667"/>
    </row>
    <row r="2" spans="1:14">
      <c r="A2" s="669" t="s">
        <v>617</v>
      </c>
      <c r="B2" s="668"/>
      <c r="C2" s="668"/>
      <c r="D2" s="668"/>
      <c r="E2" s="670"/>
      <c r="F2" s="667"/>
      <c r="G2" s="667"/>
      <c r="H2" s="667"/>
    </row>
    <row r="3" spans="1:14">
      <c r="A3" s="718" t="s">
        <v>1904</v>
      </c>
      <c r="B3" s="719"/>
      <c r="C3" s="719"/>
      <c r="D3" s="719"/>
      <c r="E3" s="720"/>
      <c r="F3" s="719"/>
      <c r="G3" s="719"/>
      <c r="H3" s="719"/>
    </row>
    <row r="4" spans="1:14">
      <c r="A4" s="671" t="s">
        <v>70</v>
      </c>
      <c r="B4" s="672" t="s">
        <v>285</v>
      </c>
      <c r="C4" s="672"/>
      <c r="D4" s="672"/>
      <c r="E4" s="673"/>
      <c r="F4" s="672"/>
      <c r="G4" s="672"/>
      <c r="H4" s="674" t="s">
        <v>550</v>
      </c>
    </row>
    <row r="5" spans="1:14" ht="51">
      <c r="A5" s="671"/>
      <c r="B5" s="31" t="s">
        <v>551</v>
      </c>
      <c r="C5" s="31" t="s">
        <v>833</v>
      </c>
      <c r="D5" s="31" t="s">
        <v>1920</v>
      </c>
      <c r="E5" s="31" t="s">
        <v>553</v>
      </c>
      <c r="F5" s="31" t="s">
        <v>1905</v>
      </c>
      <c r="G5" s="20" t="s">
        <v>555</v>
      </c>
      <c r="H5" s="674"/>
    </row>
    <row r="6" spans="1:14">
      <c r="A6" s="138" t="s">
        <v>612</v>
      </c>
      <c r="B6" s="15">
        <f>SUMIFS('UFCA - BS'!J4:J64,'UFCA - BS'!F4:F64,Criterios!A4,
'UFCA - BS'!M4:M64,Criterios!A19)
+SUMIFS('UFCA - BS'!J4:J64,'UFCA - BS'!F4:F64,Criterios!A5,
'UFCA - BS'!M4:M64,Criterios!A19)
+SUMIFS('UFCA - BS'!J4:J64,'UFCA - BS'!F4:F64,Criterios!A6,
'UFCA - BS'!M4:M64,Criterios!A19)
+SUMIFS('UFCA - BS'!J4:J64,'UFCA - BS'!F4:F64,Criterios!A7,
'UFCA - BS'!M4:M64,Criterios!A19)
+SUMIFS('UFCA - BS'!J4:J64,'UFCA - BS'!F4:F64,Criterios!A8,
'UFCA - BS'!M4:M64,Criterios!A19)
+SUMIFS('UFCA - BS'!J4:J64,'UFCA - BS'!F4:F64,Criterios!A9,
'UFCA - BS'!M4:M64,Criterios!A19)
+SUMIFS('UFCA - BS'!J4:J64,'UFCA - BS'!F4:F64,Criterios!A10,
'UFCA - BS'!M4:M64,Criterios!A19)
+SUMIFS('UFCA - BS'!J4:J64,'UFCA - BS'!F4:F64,Criterios!A4,
'UFCA - BS'!M4:M64,Criterios!A20)
+SUMIFS('UFCA - BS'!J4:J64,'UFCA - BS'!F4:F64,Criterios!A5,
'UFCA - BS'!M4:M64,Criterios!A20)
+SUMIFS('UFCA - BS'!J4:J64,'UFCA - BS'!F4:F64,Criterios!A6,
'UFCA - BS'!M4:M64,Criterios!A20)
+SUMIFS('UFCA - BS'!J4:J64,'UFCA - BS'!F4:F64,Criterios!A7,
'UFCA - BS'!M4:M64,Criterios!A20)
+SUMIFS('UFCA - BS'!J4:J64,'UFCA - BS'!F4:F64,Criterios!A8,
'UFCA - BS'!M4:M64,Criterios!A20)
+SUMIFS('UFCA - BS'!J4:J64,'UFCA - BS'!F4:F64,Criterios!A9,
'UFCA - BS'!M4:M64,Criterios!A20)
+SUMIFS('UFCA - BS'!J4:J64,'UFCA - BS'!F4:F64,Criterios!A10,
'UFCA - BS'!M4:M64,Criterios!A20)</f>
        <v>1224.3399999999999</v>
      </c>
      <c r="C6" s="15" t="s">
        <v>100</v>
      </c>
      <c r="D6" s="15">
        <f>SUMIF('UFCA - BS'!F4:F64,Criterios!C4,'UFCA - BS'!J4:J64)</f>
        <v>156.53</v>
      </c>
      <c r="E6" s="15" t="s">
        <v>100</v>
      </c>
      <c r="F6" s="15">
        <f>SUMIF('UFCA - BS'!F4:F64,Criterios!E4,'UFCA - BS'!J4:J64)</f>
        <v>694.72</v>
      </c>
      <c r="G6" s="15">
        <f>SUMIF('UFCA - BS'!F4:F64,Criterios!F4,'UFCA - BS'!J4:J64)</f>
        <v>153.51</v>
      </c>
      <c r="H6" s="24">
        <f>SUM(B6:G6)</f>
        <v>2229.1000000000004</v>
      </c>
      <c r="J6">
        <f>SUM('UFCA - BS'!I4:I64)</f>
        <v>2239.8799999999992</v>
      </c>
      <c r="K6" s="2">
        <f>J6-H6</f>
        <v>10.779999999998836</v>
      </c>
      <c r="L6" t="s">
        <v>1961</v>
      </c>
      <c r="N6" s="2"/>
    </row>
    <row r="7" spans="1:14">
      <c r="A7" s="138" t="s">
        <v>606</v>
      </c>
      <c r="B7" s="312"/>
      <c r="C7" s="312">
        <f>'UFCA - BS'!I65</f>
        <v>5.6</v>
      </c>
      <c r="D7" s="312">
        <f>SUMIF('UFCA - BS'!F5:F65,Criterios!C5,'UFCA - BS'!J5:J65)</f>
        <v>0</v>
      </c>
      <c r="E7" s="312" t="s">
        <v>100</v>
      </c>
      <c r="F7" s="312">
        <f>SUMIF('UFCA - BS'!F5:F65,Criterios!E5,'UFCA - BS'!J5:J65)</f>
        <v>0</v>
      </c>
      <c r="G7" s="312">
        <f>'UFCA - BS'!I66</f>
        <v>1.7</v>
      </c>
      <c r="H7" s="24">
        <f>SUM(B7:G7)</f>
        <v>7.3</v>
      </c>
      <c r="J7">
        <f>SUM('UFCA - BS'!I65:I66)</f>
        <v>7.3</v>
      </c>
      <c r="K7" s="2">
        <f>J7-H7</f>
        <v>0</v>
      </c>
    </row>
    <row r="8" spans="1:14">
      <c r="A8" s="139" t="s">
        <v>563</v>
      </c>
      <c r="B8" s="320">
        <f>SUM(B6:B7)</f>
        <v>1224.3399999999999</v>
      </c>
      <c r="C8" s="320">
        <f t="shared" ref="C8:H8" si="0">SUM(C6:C7)</f>
        <v>5.6</v>
      </c>
      <c r="D8" s="320">
        <f t="shared" si="0"/>
        <v>156.53</v>
      </c>
      <c r="E8" s="320">
        <f t="shared" si="0"/>
        <v>0</v>
      </c>
      <c r="F8" s="320">
        <f t="shared" si="0"/>
        <v>694.72</v>
      </c>
      <c r="G8" s="320">
        <f t="shared" si="0"/>
        <v>155.20999999999998</v>
      </c>
      <c r="H8" s="320">
        <f t="shared" si="0"/>
        <v>2236.4000000000005</v>
      </c>
    </row>
    <row r="9" spans="1:14">
      <c r="A9" s="120"/>
    </row>
    <row r="10" spans="1:14">
      <c r="A10" s="120"/>
    </row>
    <row r="11" spans="1:14">
      <c r="A11" s="120"/>
    </row>
    <row r="12" spans="1:14">
      <c r="A12" s="685" t="s">
        <v>617</v>
      </c>
      <c r="B12" s="675"/>
      <c r="C12" s="675"/>
      <c r="D12" s="675"/>
    </row>
    <row r="13" spans="1:14">
      <c r="A13" s="685" t="s">
        <v>916</v>
      </c>
      <c r="B13" s="38" t="s">
        <v>601</v>
      </c>
      <c r="C13" s="38" t="s">
        <v>615</v>
      </c>
      <c r="D13" s="38" t="s">
        <v>602</v>
      </c>
    </row>
    <row r="14" spans="1:14">
      <c r="A14" s="685"/>
      <c r="B14" s="15">
        <f>SUMIF('UFCA - BS'!F67:F69,Criterios!I4,'UFCA - BS'!J67:J69)</f>
        <v>324.41000000000003</v>
      </c>
      <c r="C14" s="15">
        <f>SUMIF('UFCA - BS'!F67:F69,Criterios!I5,'UFCA - BS'!J67:J69)</f>
        <v>1197.79</v>
      </c>
      <c r="D14" s="15">
        <f>SUMIF('UFCA - BS'!F67:F69,Criterios!I6,'UFCA - BS'!J67:J69)</f>
        <v>566.15</v>
      </c>
      <c r="I14" s="2">
        <f>SUM(B14:H14)</f>
        <v>2088.35</v>
      </c>
      <c r="J14">
        <f>SUM('UFCA - BS'!I67:I69)</f>
        <v>2088.35</v>
      </c>
      <c r="K14" s="2">
        <f>J14-I14</f>
        <v>0</v>
      </c>
    </row>
    <row r="15" spans="1:14">
      <c r="A15" s="120"/>
    </row>
    <row r="16" spans="1:14">
      <c r="A16" s="120"/>
      <c r="H16" s="2"/>
    </row>
    <row r="17" spans="1:11">
      <c r="A17" s="120"/>
    </row>
    <row r="18" spans="1:11">
      <c r="A18" s="120"/>
      <c r="I18" s="42"/>
      <c r="J18" s="42"/>
      <c r="K18" s="42"/>
    </row>
    <row r="19" spans="1:11" ht="29.25" customHeight="1">
      <c r="A19" s="120"/>
      <c r="I19" s="50"/>
      <c r="J19" s="50"/>
      <c r="K19" s="50"/>
    </row>
  </sheetData>
  <mergeCells count="8">
    <mergeCell ref="A12:D12"/>
    <mergeCell ref="A13:A14"/>
    <mergeCell ref="A3:H3"/>
    <mergeCell ref="A1:H1"/>
    <mergeCell ref="A2:H2"/>
    <mergeCell ref="A4:A5"/>
    <mergeCell ref="B4:G4"/>
    <mergeCell ref="H4:H5"/>
  </mergeCells>
  <conditionalFormatting sqref="A6:H7">
    <cfRule type="expression" dxfId="5" priority="1">
      <formula>MOD(ROW(),2)=0</formula>
    </cfRule>
  </conditionalFormatting>
  <pageMargins left="0.98425196850393704" right="0.51181102362204722" top="0.59055118110236227" bottom="0.59055118110236227" header="0.31496062992125984" footer="0.31496062992125984"/>
  <pageSetup paperSize="9" fitToHeight="0" orientation="landscape" r:id="rId1"/>
  <headerFooter>
    <oddHeader>&amp;C&amp;F&amp;R&amp;A</oddHeader>
    <oddFooter>&amp;LÚLTIMA ATUALIZAÇÃO: 30/05/2025&amp;CUFCA/DINFRA - Pág &amp;P/&amp;N&amp;RSUPERVISÃO DO LEVANTAMENTO: Arq. LOUISE BARBOSA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C55F2-AB49-43DD-926D-908DF001C422}">
  <sheetPr>
    <pageSetUpPr fitToPage="1"/>
  </sheetPr>
  <dimension ref="A1:N18"/>
  <sheetViews>
    <sheetView view="pageBreakPreview" zoomScaleNormal="100" zoomScaleSheetLayoutView="100" workbookViewId="0">
      <selection activeCell="Q50" sqref="Q50"/>
    </sheetView>
  </sheetViews>
  <sheetFormatPr defaultRowHeight="15"/>
  <cols>
    <col min="1" max="1" width="22.140625" customWidth="1"/>
    <col min="2" max="2" width="17.7109375" customWidth="1"/>
    <col min="3" max="3" width="18.7109375" customWidth="1"/>
    <col min="4" max="4" width="14.7109375" customWidth="1"/>
    <col min="5" max="5" width="12.28515625" bestFit="1" customWidth="1"/>
    <col min="6" max="6" width="19.28515625" customWidth="1"/>
  </cols>
  <sheetData>
    <row r="1" spans="1:14">
      <c r="A1" s="664" t="s">
        <v>837</v>
      </c>
      <c r="B1" s="665"/>
      <c r="C1" s="665"/>
      <c r="D1" s="665"/>
      <c r="E1" s="666"/>
      <c r="F1" s="667"/>
      <c r="G1" s="667"/>
      <c r="H1" s="667"/>
    </row>
    <row r="2" spans="1:14">
      <c r="A2" s="669" t="s">
        <v>617</v>
      </c>
      <c r="B2" s="668"/>
      <c r="C2" s="668"/>
      <c r="D2" s="668"/>
      <c r="E2" s="670"/>
      <c r="F2" s="667"/>
      <c r="G2" s="667"/>
      <c r="H2" s="667"/>
    </row>
    <row r="3" spans="1:14">
      <c r="A3" s="718" t="s">
        <v>1904</v>
      </c>
      <c r="B3" s="719"/>
      <c r="C3" s="719"/>
      <c r="D3" s="719"/>
      <c r="E3" s="720"/>
      <c r="F3" s="719"/>
      <c r="G3" s="719"/>
      <c r="H3" s="719"/>
    </row>
    <row r="4" spans="1:14">
      <c r="A4" s="671" t="s">
        <v>70</v>
      </c>
      <c r="B4" s="672" t="s">
        <v>285</v>
      </c>
      <c r="C4" s="672"/>
      <c r="D4" s="672"/>
      <c r="E4" s="673"/>
      <c r="F4" s="672"/>
      <c r="G4" s="672"/>
      <c r="H4" s="674" t="s">
        <v>550</v>
      </c>
    </row>
    <row r="5" spans="1:14" ht="51">
      <c r="A5" s="671"/>
      <c r="B5" s="31" t="s">
        <v>551</v>
      </c>
      <c r="C5" s="31" t="s">
        <v>833</v>
      </c>
      <c r="D5" s="31" t="s">
        <v>1920</v>
      </c>
      <c r="E5" s="31" t="s">
        <v>553</v>
      </c>
      <c r="F5" s="31" t="s">
        <v>1905</v>
      </c>
      <c r="G5" s="20" t="s">
        <v>555</v>
      </c>
      <c r="H5" s="674"/>
    </row>
    <row r="6" spans="1:14">
      <c r="A6" s="138" t="s">
        <v>612</v>
      </c>
      <c r="B6" s="15">
        <f>SUMIFS('UFCA - ICÓ (SPU)'!J4:J24,'UFCA - ICÓ (SPU)'!F4:F24,Criterios!A4,
'UFCA - ICÓ (SPU)'!L4:L24,Criterios!A19)
+SUMIFS('UFCA - ICÓ (SPU)'!J4:J24,'UFCA - ICÓ (SPU)'!F4:F24,Criterios!A5,
'UFCA - ICÓ (SPU)'!L4:L24,Criterios!A19)
+SUMIFS('UFCA - ICÓ (SPU)'!J4:J24,'UFCA - ICÓ (SPU)'!F4:F24,Criterios!A6,
'UFCA - ICÓ (SPU)'!L4:L24,Criterios!A19)
+SUMIFS('UFCA - ICÓ (SPU)'!J4:J24,'UFCA - ICÓ (SPU)'!F4:F24,Criterios!A7,
'UFCA - ICÓ (SPU)'!L4:L24,Criterios!A19)
+SUMIFS('UFCA - ICÓ (SPU)'!J4:J24,'UFCA - ICÓ (SPU)'!F4:F24,Criterios!A8,
'UFCA - ICÓ (SPU)'!L4:L24,Criterios!A19)
+SUMIFS('UFCA - ICÓ (SPU)'!J4:J24,'UFCA - ICÓ (SPU)'!F4:F24,Criterios!A9,
'UFCA - ICÓ (SPU)'!L4:L24,Criterios!A19)
+SUMIFS('UFCA - ICÓ (SPU)'!J4:J24,'UFCA - ICÓ (SPU)'!F4:F24,Criterios!A10,
'UFCA - ICÓ (SPU)'!L4:L24,Criterios!A19)
+SUMIFS('UFCA - ICÓ (SPU)'!J4:J24,'UFCA - ICÓ (SPU)'!F4:F24,Criterios!A4,
'UFCA - ICÓ (SPU)'!L4:L24,Criterios!A20)
+SUMIFS('UFCA - ICÓ (SPU)'!J4:J24,'UFCA - ICÓ (SPU)'!F4:F24,Criterios!A5,
'UFCA - ICÓ (SPU)'!L4:L24,Criterios!A20)
+SUMIFS('UFCA - ICÓ (SPU)'!J4:J24,'UFCA - ICÓ (SPU)'!F4:F24,Criterios!A6,
'UFCA - ICÓ (SPU)'!L4:L24,Criterios!A20)
+SUMIFS('UFCA - ICÓ (SPU)'!J4:J24,'UFCA - ICÓ (SPU)'!F4:F24,Criterios!A7,
'UFCA - ICÓ (SPU)'!L4:L24,Criterios!A20)
+SUMIFS('UFCA - ICÓ (SPU)'!J4:J24,'UFCA - ICÓ (SPU)'!F4:F24,Criterios!A8,
'UFCA - ICÓ (SPU)'!L4:L24,Criterios!A20)
+SUMIFS('UFCA - ICÓ (SPU)'!J4:J24,'UFCA - ICÓ (SPU)'!F4:F24,Criterios!A9,
'UFCA - ICÓ (SPU)'!L4:L24,Criterios!A20)
+SUMIFS('UFCA - ICÓ (SPU)'!J4:J24,'UFCA - ICÓ (SPU)'!F4:F24,Criterios!A10,
'UFCA - ICÓ (SPU)'!L4:L24,Criterios!A20)</f>
        <v>0</v>
      </c>
      <c r="C6" s="15">
        <f>SUMIFS('UFCA - ICÓ (SPU)'!J4:J24,'UFCA - ICÓ (SPU)'!F4:F24,Criterios!B4,
'UFCA - ICÓ (SPU)'!L4:L24,Criterios!B19)
+SUMIFS('UFCA - ICÓ (SPU)'!J4:J24,'UFCA - ICÓ (SPU)'!F4:F24,Criterios!B5,
'UFCA - ICÓ (SPU)'!L4:L24,Criterios!B19)
+SUMIFS('UFCA - ICÓ (SPU)'!J4:J24,'UFCA - ICÓ (SPU)'!F4:F24,Criterios!B6,
'UFCA - ICÓ (SPU)'!L4:L24,Criterios!B19)
+SUMIFS('UFCA - ICÓ (SPU)'!J4:J24,'UFCA - ICÓ (SPU)'!F4:F24,Criterios!B7,
'UFCA - ICÓ (SPU)'!L4:L24,Criterios!B19)
+SUMIFS('UFCA - ICÓ (SPU)'!J4:J24,'UFCA - ICÓ (SPU)'!F4:F24,Criterios!B8,
'UFCA - ICÓ (SPU)'!L4:L24,Criterios!B19)
+SUMIFS('UFCA - ICÓ (SPU)'!J4:J24,'UFCA - ICÓ (SPU)'!F4:F24,Criterios!B4,
'UFCA - ICÓ (SPU)'!L4:L24,Criterios!B21)
+SUMIFS('UFCA - ICÓ (SPU)'!J4:J24,'UFCA - ICÓ (SPU)'!F4:F24,Criterios!B5,
'UFCA - ICÓ (SPU)'!L4:L24,Criterios!B21)
+SUMIFS('UFCA - ICÓ (SPU)'!J4:J24,'UFCA - ICÓ (SPU)'!F4:F24,Criterios!B6,
'UFCA - ICÓ (SPU)'!L4:L24,Criterios!B21)
+SUMIFS('UFCA - ICÓ (SPU)'!J4:J24,'UFCA - ICÓ (SPU)'!F4:F24,Criterios!B7,
'UFCA - ICÓ (SPU)'!L4:L24,Criterios!B21)
+SUMIFS('UFCA - ICÓ (SPU)'!J4:J24,'UFCA - ICÓ (SPU)'!F4:F24,Criterios!B8,
'UFCA - ICÓ (SPU)'!L4:L24,Criterios!B21)
+SUMIFS('UFCA - ICÓ (SPU)'!J4:J24,'UFCA - ICÓ (SPU)'!F4:F24,Criterios!A4,
'UFCA - ICÓ (SPU)'!L4:L24,Criterios!B19)
+SUMIFS('UFCA - ICÓ (SPU)'!J4:J24,'UFCA - ICÓ (SPU)'!F4:F24,Criterios!A5,
'UFCA - ICÓ (SPU)'!L4:L24,Criterios!B19)
+SUMIFS('UFCA - ICÓ (SPU)'!J4:J24,'UFCA - ICÓ (SPU)'!F4:F24,Criterios!A6,
'UFCA - ICÓ (SPU)'!L4:L24,Criterios!B19)
+SUMIFS('UFCA - ICÓ (SPU)'!J4:J24,'UFCA - ICÓ (SPU)'!F4:F24,Criterios!A8,
'UFCA - ICÓ (SPU)'!L4:L24,Criterios!B19)
+SUMIFS('UFCA - ICÓ (SPU)'!J4:J24,'UFCA - ICÓ (SPU)'!F4:F24,Criterios!A11,
'UFCA - ICÓ (SPU)'!L4:L24,Criterios!B19)
+SUMIFS('UFCA - ICÓ (SPU)'!J4:J24,'UFCA - ICÓ (SPU)'!F4:F24,Criterios!A12,
'UFCA - ICÓ (SPU)'!L4:L24,Criterios!B19)
+SUMIFS('UFCA - ICÓ (SPU)'!J4:J24,'UFCA - ICÓ (SPU)'!F4:F24,Criterios!A13,
'UFCA - ICÓ (SPU)'!L4:L24,Criterios!B19)
+SUMIFS('UFCA - ICÓ (SPU)'!J4:J24,'UFCA - ICÓ (SPU)'!F4:F24,Criterios!A14,
'UFCA - ICÓ (SPU)'!L4:L24,Criterios!B19)
+SUMIFS('UFCA - ICÓ (SPU)'!J4:J24,'UFCA - ICÓ (SPU)'!F4:F24,Criterios!A4,
'UFCA - ICÓ (SPU)'!L4:L24,Criterios!B21)
+SUMIFS('UFCA - ICÓ (SPU)'!J4:J24,'UFCA - ICÓ (SPU)'!F4:F24,Criterios!A5,
'UFCA - ICÓ (SPU)'!L4:L24,Criterios!B21)
+SUMIFS('UFCA - ICÓ (SPU)'!J4:J24,'UFCA - ICÓ (SPU)'!F4:F24,Criterios!A6,
'UFCA - ICÓ (SPU)'!L4:L24,Criterios!B21)
+SUMIFS('UFCA - ICÓ (SPU)'!J4:J24,'UFCA - ICÓ (SPU)'!F4:F24,Criterios!A8,
'UFCA - ICÓ (SPU)'!L4:L24,Criterios!B21)
+SUMIFS('UFCA - ICÓ (SPU)'!J4:J24,'UFCA - ICÓ (SPU)'!F4:F24,Criterios!A11,
'UFCA - ICÓ (SPU)'!L4:L24,Criterios!B21)
+SUMIFS('UFCA - ICÓ (SPU)'!J4:J24,'UFCA - ICÓ (SPU)'!F4:F24,Criterios!A12,
'UFCA - ICÓ (SPU)'!L4:L24,Criterios!B21)
+SUMIFS('UFCA - ICÓ (SPU)'!J4:J24,'UFCA - ICÓ (SPU)'!F4:F24,Criterios!A13,
'UFCA - ICÓ (SPU)'!L4:L24,Criterios!B21)
+SUMIFS('UFCA - ICÓ (SPU)'!J4:J24,'UFCA - ICÓ (SPU)'!F4:F24,Criterios!A14,
'UFCA - ICÓ (SPU)'!L4:L24,Criterios!B21)</f>
        <v>172.24</v>
      </c>
      <c r="D6" s="15">
        <f>SUMIF('UFCA - ICÓ (SPU)'!F4:F24,Criterios!C4,'UFCA - ICÓ (SPU)'!J4:J24)</f>
        <v>0</v>
      </c>
      <c r="E6" s="15" t="s">
        <v>100</v>
      </c>
      <c r="F6" s="15">
        <f>SUMIF('UFCA - ICÓ (SPU)'!F4:F24,Criterios!E4,'UFCA - ICÓ (SPU)'!J4:J24)</f>
        <v>22.590000000000003</v>
      </c>
      <c r="G6" s="15">
        <f>SUMIF('UFCA - ICÓ (SPU)'!F4:F24,Criterios!F4,'UFCA - ICÓ (SPU)'!J4:J24)</f>
        <v>15.26</v>
      </c>
      <c r="H6" s="24">
        <f>SUM(B6:G6)</f>
        <v>210.09</v>
      </c>
      <c r="J6">
        <f>SUM('UFCA - ICÓ (SPU)'!J4:J24)</f>
        <v>210.09</v>
      </c>
      <c r="K6" s="2">
        <f>J6-H6</f>
        <v>0</v>
      </c>
      <c r="M6" s="307" t="s">
        <v>1964</v>
      </c>
      <c r="N6" s="2"/>
    </row>
    <row r="7" spans="1:14">
      <c r="A7" s="139" t="s">
        <v>563</v>
      </c>
      <c r="B7" s="11"/>
      <c r="E7" s="145"/>
      <c r="F7" s="145"/>
      <c r="H7" s="313">
        <f>H6</f>
        <v>210.09</v>
      </c>
    </row>
    <row r="8" spans="1:14">
      <c r="A8" s="120"/>
    </row>
    <row r="9" spans="1:14">
      <c r="A9" s="120"/>
    </row>
    <row r="10" spans="1:14">
      <c r="A10" s="120"/>
    </row>
    <row r="11" spans="1:14">
      <c r="A11" s="685" t="s">
        <v>617</v>
      </c>
      <c r="B11" s="675"/>
      <c r="C11" s="675"/>
      <c r="D11" s="675"/>
    </row>
    <row r="12" spans="1:14">
      <c r="A12" s="685" t="s">
        <v>916</v>
      </c>
      <c r="B12" s="38" t="s">
        <v>601</v>
      </c>
      <c r="C12" s="38" t="s">
        <v>615</v>
      </c>
      <c r="D12" s="38" t="s">
        <v>602</v>
      </c>
    </row>
    <row r="13" spans="1:14">
      <c r="A13" s="685"/>
      <c r="B13" s="15">
        <f>SUMIF('UFCA - BS'!F67:F69,Criterios!I4,'UFCA - BS'!J67:J69)</f>
        <v>324.41000000000003</v>
      </c>
      <c r="C13" s="15">
        <f>SUMIF('UFCA - BS'!F67:F69,Criterios!I5,'UFCA - BS'!J67:J69)</f>
        <v>1197.79</v>
      </c>
      <c r="D13" s="15">
        <f>SUMIF('UFCA - BS'!F67:F69,Criterios!I6,'UFCA - BS'!J67:J69)</f>
        <v>566.15</v>
      </c>
      <c r="I13" s="2">
        <f>SUM(B13:H13)</f>
        <v>2088.35</v>
      </c>
      <c r="J13">
        <f>SUM('UFCA - BS'!I67:I69)</f>
        <v>2088.35</v>
      </c>
      <c r="K13" s="2">
        <f>J13-I13</f>
        <v>0</v>
      </c>
    </row>
    <row r="14" spans="1:14">
      <c r="A14" s="120"/>
    </row>
    <row r="15" spans="1:14">
      <c r="A15" s="120"/>
      <c r="H15" s="2"/>
    </row>
    <row r="16" spans="1:14">
      <c r="A16" s="120"/>
    </row>
    <row r="17" spans="1:11">
      <c r="A17" s="120"/>
      <c r="I17" s="42"/>
      <c r="J17" s="42"/>
      <c r="K17" s="42"/>
    </row>
    <row r="18" spans="1:11" ht="29.25" customHeight="1">
      <c r="A18" s="120"/>
      <c r="I18" s="50"/>
      <c r="J18" s="50"/>
      <c r="K18" s="50"/>
    </row>
  </sheetData>
  <mergeCells count="8">
    <mergeCell ref="A11:D11"/>
    <mergeCell ref="A12:A13"/>
    <mergeCell ref="A1:H1"/>
    <mergeCell ref="A2:H2"/>
    <mergeCell ref="A3:H3"/>
    <mergeCell ref="A4:A5"/>
    <mergeCell ref="B4:G4"/>
    <mergeCell ref="H4:H5"/>
  </mergeCells>
  <conditionalFormatting sqref="A6:H6">
    <cfRule type="expression" dxfId="4" priority="1">
      <formula>MOD(ROW(),2)=0</formula>
    </cfRule>
  </conditionalFormatting>
  <pageMargins left="0.98425196850393704" right="0.51181102362204722" top="0.59055118110236227" bottom="0.59055118110236227" header="0.31496062992125984" footer="0.31496062992125984"/>
  <pageSetup paperSize="9" fitToHeight="0" orientation="landscape" r:id="rId1"/>
  <headerFooter>
    <oddHeader>&amp;C&amp;F&amp;R&amp;A</oddHeader>
    <oddFooter>&amp;LÚLTIMA ATUALIZAÇÃO: 30/05/2025&amp;CUFCA/DINFRA - Pág &amp;P/&amp;N&amp;RSUPERVISÃO DO LEVANTAMENTO: Arq. LOUISE BARBOSA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66201-9E6A-44CB-A0E0-A9B6D70AA0E4}">
  <sheetPr>
    <tabColor rgb="FFFF0000"/>
    <pageSetUpPr fitToPage="1"/>
  </sheetPr>
  <dimension ref="A1:I34"/>
  <sheetViews>
    <sheetView view="pageBreakPreview" zoomScaleNormal="100" zoomScaleSheetLayoutView="100" workbookViewId="0">
      <selection activeCell="Q50" sqref="Q50"/>
    </sheetView>
  </sheetViews>
  <sheetFormatPr defaultRowHeight="15"/>
  <cols>
    <col min="1" max="1" width="24" customWidth="1"/>
    <col min="2" max="2" width="21" customWidth="1"/>
    <col min="3" max="3" width="17.28515625" customWidth="1"/>
    <col min="4" max="4" width="18.42578125" customWidth="1"/>
    <col min="5" max="5" width="31.5703125" bestFit="1" customWidth="1"/>
    <col min="6" max="6" width="15" bestFit="1" customWidth="1"/>
    <col min="7" max="7" width="22.5703125" customWidth="1"/>
    <col min="8" max="8" width="21.140625" bestFit="1" customWidth="1"/>
    <col min="9" max="9" width="22.42578125" bestFit="1" customWidth="1"/>
  </cols>
  <sheetData>
    <row r="1" spans="1:9">
      <c r="A1" s="725" t="s">
        <v>824</v>
      </c>
      <c r="B1" s="726"/>
      <c r="C1" s="726"/>
      <c r="D1" s="726"/>
      <c r="E1" s="727"/>
      <c r="F1" s="728"/>
      <c r="G1" s="728"/>
      <c r="H1" s="728"/>
      <c r="I1" s="728"/>
    </row>
    <row r="2" spans="1:9" ht="51">
      <c r="A2" s="124" t="s">
        <v>589</v>
      </c>
      <c r="B2" s="31" t="s">
        <v>833</v>
      </c>
      <c r="C2" s="31" t="s">
        <v>590</v>
      </c>
      <c r="D2" s="31" t="s">
        <v>553</v>
      </c>
      <c r="E2" s="31" t="s">
        <v>591</v>
      </c>
      <c r="F2" s="31" t="s">
        <v>555</v>
      </c>
      <c r="G2" s="31" t="s">
        <v>597</v>
      </c>
      <c r="H2" s="31" t="s">
        <v>609</v>
      </c>
      <c r="I2" s="38" t="s">
        <v>621</v>
      </c>
    </row>
    <row r="3" spans="1:9">
      <c r="A3" s="125" t="s">
        <v>588</v>
      </c>
      <c r="B3" s="23" t="s">
        <v>588</v>
      </c>
      <c r="C3" s="23" t="s">
        <v>588</v>
      </c>
      <c r="D3" s="23" t="s">
        <v>588</v>
      </c>
      <c r="E3" s="23" t="s">
        <v>588</v>
      </c>
      <c r="F3" s="23" t="s">
        <v>588</v>
      </c>
      <c r="G3" s="23" t="s">
        <v>588</v>
      </c>
      <c r="H3" s="23" t="s">
        <v>588</v>
      </c>
      <c r="I3" s="23" t="s">
        <v>588</v>
      </c>
    </row>
    <row r="4" spans="1:9">
      <c r="A4" s="126" t="s">
        <v>249</v>
      </c>
      <c r="B4" s="300" t="s">
        <v>355</v>
      </c>
      <c r="C4" s="22" t="s">
        <v>593</v>
      </c>
      <c r="D4" s="115" t="s">
        <v>211</v>
      </c>
      <c r="E4" s="148" t="s">
        <v>194</v>
      </c>
      <c r="F4" s="115" t="s">
        <v>192</v>
      </c>
      <c r="G4" s="12" t="s">
        <v>175</v>
      </c>
      <c r="H4" s="12" t="s">
        <v>610</v>
      </c>
      <c r="I4" s="12" t="s">
        <v>616</v>
      </c>
    </row>
    <row r="5" spans="1:9">
      <c r="A5" s="127" t="s">
        <v>208</v>
      </c>
      <c r="B5" s="301" t="s">
        <v>27</v>
      </c>
      <c r="C5" s="12" t="s">
        <v>598</v>
      </c>
      <c r="D5" s="18" t="s">
        <v>210</v>
      </c>
      <c r="E5" s="149" t="s">
        <v>594</v>
      </c>
      <c r="F5" s="147"/>
      <c r="I5" s="12" t="s">
        <v>615</v>
      </c>
    </row>
    <row r="6" spans="1:9">
      <c r="A6" s="128" t="s">
        <v>248</v>
      </c>
      <c r="B6" s="301" t="s">
        <v>1313</v>
      </c>
      <c r="E6" s="12" t="s">
        <v>595</v>
      </c>
      <c r="F6" s="147"/>
      <c r="I6" s="12" t="s">
        <v>602</v>
      </c>
    </row>
    <row r="7" spans="1:9">
      <c r="A7" s="299" t="s">
        <v>596</v>
      </c>
      <c r="B7" s="12" t="s">
        <v>110</v>
      </c>
      <c r="E7" s="295" t="s">
        <v>910</v>
      </c>
      <c r="F7" s="147"/>
      <c r="I7" s="12" t="s">
        <v>619</v>
      </c>
    </row>
    <row r="8" spans="1:9">
      <c r="A8" s="127" t="s">
        <v>109</v>
      </c>
      <c r="B8" s="298" t="s">
        <v>596</v>
      </c>
      <c r="E8" s="295" t="s">
        <v>524</v>
      </c>
      <c r="F8" s="147"/>
      <c r="I8" s="12" t="s">
        <v>620</v>
      </c>
    </row>
    <row r="9" spans="1:9">
      <c r="A9" s="299" t="s">
        <v>355</v>
      </c>
      <c r="E9" s="295" t="s">
        <v>1382</v>
      </c>
      <c r="F9" s="147"/>
      <c r="I9" s="294" t="s">
        <v>910</v>
      </c>
    </row>
    <row r="10" spans="1:9">
      <c r="A10" s="299" t="s">
        <v>27</v>
      </c>
      <c r="E10" s="146"/>
      <c r="F10" s="147"/>
      <c r="I10" s="294" t="s">
        <v>524</v>
      </c>
    </row>
    <row r="11" spans="1:9">
      <c r="A11" s="129" t="s">
        <v>537</v>
      </c>
      <c r="E11" s="146"/>
      <c r="F11" s="147"/>
    </row>
    <row r="12" spans="1:9">
      <c r="A12" s="294" t="s">
        <v>1364</v>
      </c>
      <c r="E12" s="146"/>
      <c r="F12" s="147"/>
    </row>
    <row r="13" spans="1:9">
      <c r="A13" s="294" t="s">
        <v>1371</v>
      </c>
      <c r="E13" s="146"/>
      <c r="F13" s="147"/>
    </row>
    <row r="14" spans="1:9">
      <c r="A14" s="294" t="s">
        <v>1370</v>
      </c>
      <c r="E14" s="146"/>
      <c r="F14" s="147"/>
    </row>
    <row r="15" spans="1:9">
      <c r="A15" s="302" t="s">
        <v>1313</v>
      </c>
      <c r="E15" s="146"/>
      <c r="F15" s="147"/>
    </row>
    <row r="16" spans="1:9">
      <c r="E16" s="146"/>
      <c r="F16" s="147"/>
    </row>
    <row r="17" spans="1:9">
      <c r="A17" s="130"/>
      <c r="E17" s="146"/>
      <c r="F17" s="147"/>
    </row>
    <row r="18" spans="1:9">
      <c r="A18" s="125" t="s">
        <v>592</v>
      </c>
      <c r="B18" s="23" t="s">
        <v>592</v>
      </c>
      <c r="C18" s="23" t="s">
        <v>592</v>
      </c>
      <c r="D18" s="23" t="s">
        <v>592</v>
      </c>
      <c r="E18" s="23" t="s">
        <v>592</v>
      </c>
      <c r="F18" s="23" t="s">
        <v>592</v>
      </c>
      <c r="G18" s="23" t="s">
        <v>592</v>
      </c>
      <c r="H18" s="68" t="s">
        <v>592</v>
      </c>
      <c r="I18" s="23" t="s">
        <v>856</v>
      </c>
    </row>
    <row r="19" spans="1:9">
      <c r="A19" s="131" t="s">
        <v>268</v>
      </c>
      <c r="B19" s="18" t="s">
        <v>572</v>
      </c>
      <c r="C19" s="112" t="s">
        <v>268</v>
      </c>
      <c r="D19" s="112" t="s">
        <v>268</v>
      </c>
      <c r="E19" s="12" t="s">
        <v>599</v>
      </c>
      <c r="F19" s="18" t="s">
        <v>572</v>
      </c>
      <c r="G19" s="11"/>
      <c r="I19" s="48" t="s">
        <v>846</v>
      </c>
    </row>
    <row r="20" spans="1:9">
      <c r="A20" s="131" t="s">
        <v>270</v>
      </c>
      <c r="B20" s="103" t="s">
        <v>356</v>
      </c>
      <c r="C20" s="18" t="s">
        <v>572</v>
      </c>
      <c r="D20" s="11"/>
      <c r="E20" s="12" t="s">
        <v>546</v>
      </c>
      <c r="F20" s="18" t="s">
        <v>334</v>
      </c>
      <c r="G20" s="11"/>
      <c r="I20" s="48" t="s">
        <v>857</v>
      </c>
    </row>
    <row r="21" spans="1:9">
      <c r="A21" s="132"/>
      <c r="B21" s="294" t="s">
        <v>911</v>
      </c>
      <c r="C21" s="294" t="s">
        <v>911</v>
      </c>
      <c r="D21" s="11"/>
      <c r="E21" s="112" t="s">
        <v>268</v>
      </c>
      <c r="F21" s="150"/>
      <c r="G21" s="11"/>
    </row>
    <row r="22" spans="1:9">
      <c r="A22" s="120"/>
      <c r="B22" s="11"/>
      <c r="C22" s="11"/>
      <c r="D22" s="11"/>
      <c r="E22" s="113" t="s">
        <v>361</v>
      </c>
      <c r="F22" s="150"/>
      <c r="G22" s="11"/>
    </row>
    <row r="23" spans="1:9">
      <c r="A23" s="120"/>
    </row>
    <row r="24" spans="1:9" s="69" customFormat="1">
      <c r="A24" s="133"/>
    </row>
    <row r="25" spans="1:9">
      <c r="A25" s="127" t="s">
        <v>355</v>
      </c>
    </row>
    <row r="26" spans="1:9">
      <c r="A26" s="127" t="s">
        <v>27</v>
      </c>
    </row>
    <row r="27" spans="1:9">
      <c r="A27" s="134" t="s">
        <v>194</v>
      </c>
    </row>
    <row r="28" spans="1:9">
      <c r="A28" s="126" t="s">
        <v>192</v>
      </c>
    </row>
    <row r="29" spans="1:9">
      <c r="A29" s="120"/>
    </row>
    <row r="30" spans="1:9">
      <c r="A30" s="120"/>
    </row>
    <row r="31" spans="1:9">
      <c r="A31" s="120"/>
    </row>
    <row r="32" spans="1:9">
      <c r="A32" s="120"/>
    </row>
    <row r="33" spans="1:5">
      <c r="A33" s="120"/>
    </row>
    <row r="34" spans="1:5" ht="45" hidden="1" customHeight="1" thickBot="1">
      <c r="A34" s="135" t="s">
        <v>913</v>
      </c>
      <c r="B34" s="136"/>
      <c r="C34" s="136"/>
      <c r="D34" s="136"/>
      <c r="E34" s="151"/>
    </row>
  </sheetData>
  <mergeCells count="1">
    <mergeCell ref="A1:I1"/>
  </mergeCells>
  <pageMargins left="0.98425196850393704" right="0.51181102362204722" top="0.59055118110236227" bottom="0.59055118110236227" header="0.31496062992125984" footer="0.31496062992125984"/>
  <pageSetup paperSize="9" scale="67" fitToHeight="0" orientation="landscape" r:id="rId1"/>
  <headerFooter>
    <oddFooter>&amp;LÚLTIMA ATUALIZAÇÃO: 25/07/2024&amp;CUFCA/DINFRA - Pág &amp;P/&amp;N&amp;RSUPERVISÃO DO LEVANTAMENTO: Arq. LOUISE BARBOSA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D9F4E-A7D0-488C-8DB7-48AA179BB4AD}">
  <sheetPr>
    <tabColor rgb="FFFFFF00"/>
    <pageSetUpPr fitToPage="1"/>
  </sheetPr>
  <dimension ref="A1:G71"/>
  <sheetViews>
    <sheetView view="pageBreakPreview" zoomScaleNormal="100" zoomScaleSheetLayoutView="100" workbookViewId="0">
      <selection activeCell="Q50" sqref="Q50"/>
    </sheetView>
  </sheetViews>
  <sheetFormatPr defaultRowHeight="15"/>
  <cols>
    <col min="1" max="1" width="18" customWidth="1"/>
    <col min="2" max="2" width="11.28515625" bestFit="1" customWidth="1"/>
    <col min="3" max="3" width="9.28515625" customWidth="1"/>
    <col min="4" max="4" width="11.140625" bestFit="1" customWidth="1"/>
    <col min="5" max="5" width="11.5703125" bestFit="1" customWidth="1"/>
    <col min="6" max="6" width="7.5703125" style="1" bestFit="1" customWidth="1"/>
  </cols>
  <sheetData>
    <row r="1" spans="1:7" ht="17.25" customHeight="1">
      <c r="A1" s="760" t="s">
        <v>1991</v>
      </c>
      <c r="B1" s="761"/>
      <c r="C1" s="761"/>
      <c r="D1" s="761"/>
      <c r="E1" s="761"/>
      <c r="F1" s="761"/>
      <c r="G1" s="3"/>
    </row>
    <row r="2" spans="1:7" ht="15" customHeight="1">
      <c r="A2" s="757" t="s">
        <v>837</v>
      </c>
      <c r="B2" s="758"/>
      <c r="C2" s="758"/>
      <c r="D2" s="758"/>
      <c r="E2" s="758"/>
      <c r="F2" s="759"/>
    </row>
    <row r="3" spans="1:7">
      <c r="A3" s="669" t="s">
        <v>823</v>
      </c>
      <c r="B3" s="668"/>
      <c r="C3" s="668"/>
      <c r="D3" s="668"/>
      <c r="E3" s="668"/>
      <c r="F3" s="668"/>
    </row>
    <row r="4" spans="1:7" ht="15" customHeight="1">
      <c r="A4" s="671" t="s">
        <v>630</v>
      </c>
      <c r="B4" s="672" t="s">
        <v>1</v>
      </c>
      <c r="C4" s="672"/>
      <c r="D4" s="672"/>
      <c r="E4" s="672"/>
      <c r="F4" s="672"/>
    </row>
    <row r="5" spans="1:7" ht="25.5">
      <c r="A5" s="671"/>
      <c r="B5" s="31" t="s">
        <v>574</v>
      </c>
      <c r="C5" s="31" t="s">
        <v>605</v>
      </c>
      <c r="D5" s="31" t="s">
        <v>556</v>
      </c>
      <c r="E5" s="20" t="s">
        <v>622</v>
      </c>
      <c r="F5" s="41" t="s">
        <v>613</v>
      </c>
    </row>
    <row r="6" spans="1:7">
      <c r="A6" s="137" t="s">
        <v>623</v>
      </c>
      <c r="B6" s="15">
        <f>'TOTAL-USOS'!C11</f>
        <v>4499.87</v>
      </c>
      <c r="C6" s="15">
        <f>'TOTAL-USOS'!D11</f>
        <v>8199.5300000000007</v>
      </c>
      <c r="D6" s="15">
        <f>'TOTAL-USOS'!E11</f>
        <v>27779.579999999994</v>
      </c>
      <c r="E6" s="15">
        <f>'TOTAL-USOS'!F11</f>
        <v>2236.3999999999996</v>
      </c>
      <c r="F6" s="15">
        <f>'TOTAL-USOS'!G11</f>
        <v>210.09</v>
      </c>
    </row>
    <row r="7" spans="1:7">
      <c r="A7" s="137" t="s">
        <v>624</v>
      </c>
      <c r="B7" s="15">
        <f>'TOTAL-USOS'!C16</f>
        <v>6353.7900000000009</v>
      </c>
      <c r="C7" s="15">
        <f ca="1">'TOTAL-USOS'!D16</f>
        <v>16443.63</v>
      </c>
      <c r="D7" s="15">
        <f>'TOTAL-USOS'!E16</f>
        <v>40216.001700000001</v>
      </c>
      <c r="E7" s="15">
        <f>'TOTAL-USOS'!F16</f>
        <v>2088.35</v>
      </c>
      <c r="F7" s="15">
        <f>'TOTAL-USOS'!G16</f>
        <v>2088.35</v>
      </c>
    </row>
    <row r="8" spans="1:7" ht="25.5">
      <c r="A8" s="137" t="s">
        <v>625</v>
      </c>
      <c r="B8" s="15">
        <f>'BA-ESQ'!$B$5</f>
        <v>750.92</v>
      </c>
      <c r="C8" s="15">
        <f>'CR-ESQ'!B5</f>
        <v>758.64</v>
      </c>
      <c r="D8" s="15">
        <f>'JN-ESQ'!C11</f>
        <v>3297</v>
      </c>
      <c r="E8" s="15">
        <f>'BS-ESQ'!B3</f>
        <v>188.96</v>
      </c>
      <c r="F8" s="15">
        <f>'UFCA - ICÓ (SPU)'!H59</f>
        <v>44.934000000000005</v>
      </c>
    </row>
    <row r="9" spans="1:7" ht="25.5">
      <c r="A9" s="137" t="s">
        <v>626</v>
      </c>
      <c r="B9" s="15">
        <f>'BA-ESQ'!$E$5</f>
        <v>0</v>
      </c>
      <c r="C9" s="15">
        <f>'CR-ESQ'!E5</f>
        <v>0</v>
      </c>
      <c r="D9" s="15">
        <f>'JN-ESQ'!F11</f>
        <v>0</v>
      </c>
      <c r="E9" s="15">
        <f>'BS-ESQ'!E3</f>
        <v>0</v>
      </c>
      <c r="F9" s="15"/>
    </row>
    <row r="10" spans="1:7" ht="25.5">
      <c r="A10" s="137" t="s">
        <v>627</v>
      </c>
      <c r="B10" s="15">
        <f>'BA-ESQ'!$C$5</f>
        <v>611.15</v>
      </c>
      <c r="C10" s="15">
        <f>'CR-ESQ'!C5</f>
        <v>522.95000000000005</v>
      </c>
      <c r="D10" s="15">
        <f>'JN-ESQ'!D11</f>
        <v>1243</v>
      </c>
      <c r="E10" s="15">
        <f>'BS-ESQ'!C3</f>
        <v>96.13</v>
      </c>
      <c r="F10" s="15">
        <f>'UFCA - ICÓ (SPU)'!H59</f>
        <v>44.934000000000005</v>
      </c>
    </row>
    <row r="11" spans="1:7" ht="25.5">
      <c r="A11" s="137" t="s">
        <v>628</v>
      </c>
      <c r="B11" s="15">
        <f>'BA-ESQ'!$D$5</f>
        <v>0</v>
      </c>
      <c r="C11" s="15">
        <f>'CR-ESQ'!D5</f>
        <v>0</v>
      </c>
      <c r="D11" s="15">
        <f>'JN-ESQ'!E11</f>
        <v>1088</v>
      </c>
      <c r="E11" s="15">
        <f>'BS-ESQ'!D3</f>
        <v>0</v>
      </c>
      <c r="F11" s="15"/>
    </row>
    <row r="12" spans="1:7" ht="25.5">
      <c r="A12" s="137" t="s">
        <v>917</v>
      </c>
      <c r="B12" s="15">
        <f>'BA-ESQ'!$F$4</f>
        <v>26.54</v>
      </c>
      <c r="C12" s="15">
        <f>'CR-ESQ'!F5</f>
        <v>0</v>
      </c>
      <c r="D12" s="15"/>
      <c r="E12" s="15"/>
      <c r="F12" s="15"/>
    </row>
    <row r="13" spans="1:7" ht="25.5">
      <c r="A13" s="137" t="s">
        <v>629</v>
      </c>
      <c r="B13" s="32">
        <f>'TOTAL-USOS'!C17</f>
        <v>593.72</v>
      </c>
      <c r="C13" s="32"/>
      <c r="D13" s="32"/>
      <c r="E13" s="32"/>
      <c r="F13" s="32"/>
    </row>
    <row r="14" spans="1:7">
      <c r="A14" s="729"/>
      <c r="B14" s="729"/>
      <c r="C14" s="729"/>
      <c r="D14" s="729"/>
      <c r="E14" s="729"/>
      <c r="F14" s="729"/>
    </row>
    <row r="15" spans="1:7" ht="13.5" customHeight="1">
      <c r="A15" s="760" t="s">
        <v>1991</v>
      </c>
      <c r="B15" s="761"/>
      <c r="C15" s="761"/>
      <c r="D15" s="761"/>
      <c r="E15" s="761"/>
      <c r="F15" s="761"/>
    </row>
    <row r="16" spans="1:7">
      <c r="A16" s="757" t="s">
        <v>858</v>
      </c>
      <c r="B16" s="758"/>
      <c r="C16" s="758"/>
      <c r="D16" s="758"/>
      <c r="E16" s="758"/>
      <c r="F16" s="759"/>
    </row>
    <row r="17" spans="1:6">
      <c r="A17" s="764" t="s">
        <v>823</v>
      </c>
      <c r="B17" s="765"/>
      <c r="C17" s="765"/>
      <c r="D17" s="765"/>
      <c r="E17" s="765"/>
      <c r="F17" s="766"/>
    </row>
    <row r="18" spans="1:6">
      <c r="A18" s="767" t="s">
        <v>630</v>
      </c>
      <c r="B18" s="626" t="s">
        <v>1</v>
      </c>
      <c r="C18" s="627"/>
      <c r="D18" s="627"/>
      <c r="E18" s="627"/>
      <c r="F18" s="628"/>
    </row>
    <row r="19" spans="1:6" ht="25.5">
      <c r="A19" s="768"/>
      <c r="B19" s="20" t="s">
        <v>574</v>
      </c>
      <c r="C19" s="20" t="s">
        <v>605</v>
      </c>
      <c r="D19" s="20" t="s">
        <v>556</v>
      </c>
      <c r="E19" s="20" t="s">
        <v>622</v>
      </c>
      <c r="F19" s="41" t="s">
        <v>613</v>
      </c>
    </row>
    <row r="20" spans="1:6">
      <c r="A20" s="20" t="s">
        <v>623</v>
      </c>
      <c r="B20" s="15">
        <f>B6+B13</f>
        <v>5093.59</v>
      </c>
      <c r="C20" s="15">
        <f t="shared" ref="C20:F20" si="0">C6+C13</f>
        <v>8199.5300000000007</v>
      </c>
      <c r="D20" s="15">
        <f t="shared" si="0"/>
        <v>27779.579999999994</v>
      </c>
      <c r="E20" s="15">
        <f t="shared" si="0"/>
        <v>2236.3999999999996</v>
      </c>
      <c r="F20" s="15">
        <f t="shared" si="0"/>
        <v>210.09</v>
      </c>
    </row>
    <row r="21" spans="1:6">
      <c r="A21" s="31" t="s">
        <v>624</v>
      </c>
      <c r="B21" s="15">
        <f>B7</f>
        <v>6353.7900000000009</v>
      </c>
      <c r="C21" s="15">
        <f t="shared" ref="C21:F21" ca="1" si="1">C7</f>
        <v>16443.63</v>
      </c>
      <c r="D21" s="15">
        <f t="shared" si="1"/>
        <v>40216.001700000001</v>
      </c>
      <c r="E21" s="15">
        <f t="shared" si="1"/>
        <v>2088.35</v>
      </c>
      <c r="F21" s="15">
        <f t="shared" si="1"/>
        <v>2088.35</v>
      </c>
    </row>
    <row r="22" spans="1:6" ht="25.5">
      <c r="A22" s="104" t="s">
        <v>2514</v>
      </c>
      <c r="B22" s="105">
        <f>'TOTAL-USOS'!C15</f>
        <v>1732.35</v>
      </c>
      <c r="C22" s="105">
        <f>'TOTAL-USOS'!D15</f>
        <v>1913.59</v>
      </c>
      <c r="D22" s="105">
        <f>'TOTAL-USOS'!E15</f>
        <v>13014.692700000001</v>
      </c>
      <c r="E22" s="105">
        <f>'TOTAL-USOS'!F15</f>
        <v>566.15</v>
      </c>
      <c r="F22" s="105">
        <f>'TOTAL-USOS'!G15</f>
        <v>566.15</v>
      </c>
    </row>
    <row r="23" spans="1:6">
      <c r="A23" s="104" t="s">
        <v>1997</v>
      </c>
      <c r="B23" s="12">
        <f>'TOTAL-USOS'!C19</f>
        <v>0</v>
      </c>
      <c r="C23" s="12">
        <f ca="1">'TOTAL-USOS'!D19</f>
        <v>132911.14000000001</v>
      </c>
      <c r="D23" s="12">
        <f>'TOTAL-USOS'!E19</f>
        <v>85765.53</v>
      </c>
      <c r="E23" s="12">
        <f>'TOTAL-USOS'!F19</f>
        <v>0</v>
      </c>
      <c r="F23" s="12">
        <f>'TOTAL-USOS'!G19</f>
        <v>0</v>
      </c>
    </row>
    <row r="25" spans="1:6">
      <c r="A25" s="762" t="s">
        <v>2360</v>
      </c>
      <c r="B25" s="763"/>
      <c r="C25" s="763"/>
      <c r="D25" s="763"/>
      <c r="E25" s="763"/>
      <c r="F25" s="763"/>
    </row>
    <row r="26" spans="1:6" ht="15" customHeight="1">
      <c r="A26" s="748" t="s">
        <v>837</v>
      </c>
      <c r="B26" s="749"/>
      <c r="C26" s="749"/>
      <c r="D26" s="749"/>
      <c r="E26" s="749"/>
      <c r="F26" s="750"/>
    </row>
    <row r="27" spans="1:6">
      <c r="A27" s="755" t="s">
        <v>823</v>
      </c>
      <c r="B27" s="756"/>
      <c r="C27" s="756"/>
      <c r="D27" s="756"/>
      <c r="E27" s="756"/>
      <c r="F27" s="756"/>
    </row>
    <row r="28" spans="1:6">
      <c r="A28" s="751" t="s">
        <v>630</v>
      </c>
      <c r="B28" s="721" t="s">
        <v>1</v>
      </c>
      <c r="C28" s="721"/>
      <c r="D28" s="721"/>
      <c r="E28" s="721"/>
      <c r="F28" s="721"/>
    </row>
    <row r="29" spans="1:6" ht="25.5">
      <c r="A29" s="751"/>
      <c r="B29" s="361" t="s">
        <v>574</v>
      </c>
      <c r="C29" s="361" t="s">
        <v>605</v>
      </c>
      <c r="D29" s="361" t="s">
        <v>556</v>
      </c>
      <c r="E29" s="362" t="s">
        <v>622</v>
      </c>
      <c r="F29" s="363" t="s">
        <v>613</v>
      </c>
    </row>
    <row r="30" spans="1:6">
      <c r="A30" s="360" t="s">
        <v>623</v>
      </c>
      <c r="B30" s="15">
        <f>'TOTAL-USOS'!C31</f>
        <v>4499.87</v>
      </c>
      <c r="C30" s="15">
        <f>'TOTAL-USOS'!D31</f>
        <v>8802.49</v>
      </c>
      <c r="D30" s="15">
        <f>'TOTAL-USOS'!E31</f>
        <v>30185.39</v>
      </c>
      <c r="E30" s="15">
        <f>'TOTAL-USOS'!F31</f>
        <v>2236.4</v>
      </c>
      <c r="F30" s="15">
        <f>'TOTAL-USOS'!G31</f>
        <v>210.09</v>
      </c>
    </row>
    <row r="31" spans="1:6">
      <c r="A31" s="360" t="s">
        <v>624</v>
      </c>
      <c r="B31" s="15">
        <f>'TOTAL-USOS'!C36</f>
        <v>6353.79</v>
      </c>
      <c r="C31" s="15">
        <f ca="1">'TOTAL-USOS'!D36</f>
        <v>33672.9</v>
      </c>
      <c r="D31" s="15">
        <f>'TOTAL-USOS'!E36</f>
        <v>46230.49</v>
      </c>
      <c r="E31" s="15">
        <f>'TOTAL-USOS'!F36</f>
        <v>2088.35</v>
      </c>
      <c r="F31" s="15">
        <f>'TOTAL-USOS'!G36</f>
        <v>2088.35</v>
      </c>
    </row>
    <row r="32" spans="1:6" ht="25.5">
      <c r="A32" s="360" t="s">
        <v>625</v>
      </c>
      <c r="B32" s="15">
        <f>'BA-ESQ'!$B$5</f>
        <v>750.92</v>
      </c>
      <c r="C32" s="15">
        <f>'CR-ESQ'!B14</f>
        <v>850.8</v>
      </c>
      <c r="D32" s="15">
        <f>'JN-ESQ'!C25</f>
        <v>3500.71</v>
      </c>
      <c r="E32" s="15">
        <f>'BS-ESQ'!B3</f>
        <v>188.96</v>
      </c>
      <c r="F32" s="15">
        <f>'UFCA - ICÓ (SPU)'!H59</f>
        <v>44.934000000000005</v>
      </c>
    </row>
    <row r="33" spans="1:6" ht="25.5">
      <c r="A33" s="360" t="s">
        <v>626</v>
      </c>
      <c r="B33" s="15">
        <f>'BA-ESQ'!$E$5</f>
        <v>0</v>
      </c>
      <c r="C33" s="15">
        <f>'CR-ESQ'!E14</f>
        <v>0</v>
      </c>
      <c r="D33" s="15">
        <f>'JN-ESQ'!F25</f>
        <v>0</v>
      </c>
      <c r="E33" s="15">
        <f>'BS-ESQ'!E3</f>
        <v>0</v>
      </c>
      <c r="F33" s="15"/>
    </row>
    <row r="34" spans="1:6" ht="25.5">
      <c r="A34" s="360" t="s">
        <v>627</v>
      </c>
      <c r="B34" s="15">
        <f>'BA-ESQ'!$C$5</f>
        <v>611.15</v>
      </c>
      <c r="C34" s="15">
        <f>'CR-ESQ'!C14</f>
        <v>560.15</v>
      </c>
      <c r="D34" s="15">
        <f>'JN-ESQ'!D25</f>
        <v>1312.98</v>
      </c>
      <c r="E34" s="15">
        <f>'BS-ESQ'!C3</f>
        <v>96.13</v>
      </c>
      <c r="F34" s="15">
        <f>'UFCA - ICÓ (SPU)'!H59</f>
        <v>44.934000000000005</v>
      </c>
    </row>
    <row r="35" spans="1:6" ht="25.5">
      <c r="A35" s="360" t="s">
        <v>628</v>
      </c>
      <c r="B35" s="15">
        <f>'BA-ESQ'!$D$5</f>
        <v>0</v>
      </c>
      <c r="C35" s="15">
        <f>'CR-ESQ'!D14</f>
        <v>0</v>
      </c>
      <c r="D35" s="15">
        <f>'JN-ESQ'!E25</f>
        <v>1182.05</v>
      </c>
      <c r="E35" s="15">
        <f>'BS-ESQ'!D3</f>
        <v>0</v>
      </c>
      <c r="F35" s="15"/>
    </row>
    <row r="36" spans="1:6" ht="25.5">
      <c r="A36" s="360" t="s">
        <v>917</v>
      </c>
      <c r="B36" s="15">
        <f>'BA-ESQ'!$F$4</f>
        <v>26.54</v>
      </c>
      <c r="C36" s="15">
        <f>'CR-ESQ'!F14</f>
        <v>0</v>
      </c>
      <c r="D36" s="15"/>
      <c r="E36" s="15" t="s">
        <v>100</v>
      </c>
      <c r="F36" s="15"/>
    </row>
    <row r="37" spans="1:6" ht="25.5">
      <c r="A37" s="360" t="s">
        <v>629</v>
      </c>
      <c r="B37" s="32">
        <f>'TOTAL-USOS'!C37</f>
        <v>593.72</v>
      </c>
      <c r="C37" s="32">
        <f>'TOTAL-USOS'!D37</f>
        <v>0</v>
      </c>
      <c r="D37" s="32">
        <f>'TOTAL-USOS'!E37</f>
        <v>0</v>
      </c>
      <c r="E37" s="32">
        <f>'TOTAL-USOS'!F37</f>
        <v>0</v>
      </c>
      <c r="F37" s="32">
        <f>'TOTAL-USOS'!G37</f>
        <v>0</v>
      </c>
    </row>
    <row r="38" spans="1:6">
      <c r="A38" s="729"/>
      <c r="B38" s="729"/>
      <c r="C38" s="729"/>
      <c r="D38" s="729"/>
      <c r="E38" s="729"/>
      <c r="F38" s="729"/>
    </row>
    <row r="39" spans="1:6" ht="15" customHeight="1">
      <c r="A39" s="762" t="s">
        <v>2360</v>
      </c>
      <c r="B39" s="763"/>
      <c r="C39" s="763"/>
      <c r="D39" s="763"/>
      <c r="E39" s="763"/>
      <c r="F39" s="763"/>
    </row>
    <row r="40" spans="1:6">
      <c r="A40" s="748" t="s">
        <v>858</v>
      </c>
      <c r="B40" s="749"/>
      <c r="C40" s="749"/>
      <c r="D40" s="749"/>
      <c r="E40" s="749"/>
      <c r="F40" s="750"/>
    </row>
    <row r="41" spans="1:6">
      <c r="A41" s="752" t="s">
        <v>823</v>
      </c>
      <c r="B41" s="753"/>
      <c r="C41" s="753"/>
      <c r="D41" s="753"/>
      <c r="E41" s="753"/>
      <c r="F41" s="754"/>
    </row>
    <row r="42" spans="1:6">
      <c r="A42" s="744" t="s">
        <v>630</v>
      </c>
      <c r="B42" s="746" t="s">
        <v>1</v>
      </c>
      <c r="C42" s="747"/>
      <c r="D42" s="747"/>
      <c r="E42" s="747"/>
      <c r="F42" s="722"/>
    </row>
    <row r="43" spans="1:6" ht="25.5">
      <c r="A43" s="745"/>
      <c r="B43" s="362" t="s">
        <v>574</v>
      </c>
      <c r="C43" s="362" t="s">
        <v>605</v>
      </c>
      <c r="D43" s="362" t="s">
        <v>556</v>
      </c>
      <c r="E43" s="362" t="s">
        <v>622</v>
      </c>
      <c r="F43" s="363" t="s">
        <v>613</v>
      </c>
    </row>
    <row r="44" spans="1:6">
      <c r="A44" s="362" t="s">
        <v>623</v>
      </c>
      <c r="B44" s="15">
        <f>B30+B37</f>
        <v>5093.59</v>
      </c>
      <c r="C44" s="15">
        <f t="shared" ref="C44:F44" si="2">C30+C37</f>
        <v>8802.49</v>
      </c>
      <c r="D44" s="15">
        <f t="shared" si="2"/>
        <v>30185.39</v>
      </c>
      <c r="E44" s="15">
        <f t="shared" si="2"/>
        <v>2236.4</v>
      </c>
      <c r="F44" s="15">
        <f t="shared" si="2"/>
        <v>210.09</v>
      </c>
    </row>
    <row r="45" spans="1:6">
      <c r="A45" s="361" t="s">
        <v>624</v>
      </c>
      <c r="B45" s="15">
        <f>B31</f>
        <v>6353.79</v>
      </c>
      <c r="C45" s="15">
        <f t="shared" ref="C45:F45" ca="1" si="3">C31</f>
        <v>33672.9</v>
      </c>
      <c r="D45" s="15">
        <f t="shared" si="3"/>
        <v>46230.49</v>
      </c>
      <c r="E45" s="15">
        <f t="shared" si="3"/>
        <v>2088.35</v>
      </c>
      <c r="F45" s="15">
        <f t="shared" si="3"/>
        <v>2088.35</v>
      </c>
    </row>
    <row r="46" spans="1:6" ht="25.5">
      <c r="A46" s="104" t="s">
        <v>2514</v>
      </c>
      <c r="B46" s="105">
        <f>'TOTAL-USOS'!C35</f>
        <v>1732.35</v>
      </c>
      <c r="C46" s="105">
        <f>'TOTAL-USOS'!D35</f>
        <v>4372.62</v>
      </c>
      <c r="D46" s="105">
        <f>'TOTAL-USOS'!E35</f>
        <v>15404.362700000001</v>
      </c>
      <c r="E46" s="105">
        <f>'TOTAL-USOS'!F35</f>
        <v>566.15</v>
      </c>
      <c r="F46" s="105">
        <f>'TOTAL-USOS'!G35</f>
        <v>566.15</v>
      </c>
    </row>
    <row r="47" spans="1:6">
      <c r="A47" s="104" t="s">
        <v>1997</v>
      </c>
      <c r="B47" s="12">
        <f>'TOTAL-USOS'!C39</f>
        <v>0</v>
      </c>
      <c r="C47" s="12">
        <f>'TOTAL-USOS'!D39</f>
        <v>131398.9</v>
      </c>
      <c r="D47" s="12">
        <f>'TOTAL-USOS'!E39</f>
        <v>280357.69</v>
      </c>
      <c r="E47" s="12">
        <f>'TOTAL-USOS'!F39</f>
        <v>0</v>
      </c>
      <c r="F47" s="12">
        <f>'TOTAL-USOS'!G39</f>
        <v>0</v>
      </c>
    </row>
    <row r="49" spans="1:6" ht="15" customHeight="1">
      <c r="A49" s="730" t="s">
        <v>2361</v>
      </c>
      <c r="B49" s="731"/>
      <c r="C49" s="731"/>
      <c r="D49" s="731"/>
      <c r="E49" s="731"/>
      <c r="F49" s="731"/>
    </row>
    <row r="50" spans="1:6" ht="15" customHeight="1">
      <c r="A50" s="732" t="s">
        <v>837</v>
      </c>
      <c r="B50" s="733"/>
      <c r="C50" s="733"/>
      <c r="D50" s="733"/>
      <c r="E50" s="733"/>
      <c r="F50" s="734"/>
    </row>
    <row r="51" spans="1:6">
      <c r="A51" s="742" t="s">
        <v>823</v>
      </c>
      <c r="B51" s="743"/>
      <c r="C51" s="743"/>
      <c r="D51" s="743"/>
      <c r="E51" s="743"/>
      <c r="F51" s="743"/>
    </row>
    <row r="52" spans="1:6">
      <c r="A52" s="710" t="s">
        <v>630</v>
      </c>
      <c r="B52" s="711" t="s">
        <v>1</v>
      </c>
      <c r="C52" s="711"/>
      <c r="D52" s="711"/>
      <c r="E52" s="711"/>
      <c r="F52" s="711"/>
    </row>
    <row r="53" spans="1:6" ht="25.5">
      <c r="A53" s="710"/>
      <c r="B53" s="428" t="s">
        <v>574</v>
      </c>
      <c r="C53" s="428" t="s">
        <v>605</v>
      </c>
      <c r="D53" s="428" t="s">
        <v>556</v>
      </c>
      <c r="E53" s="429" t="s">
        <v>622</v>
      </c>
      <c r="F53" s="432" t="s">
        <v>613</v>
      </c>
    </row>
    <row r="54" spans="1:6">
      <c r="A54" s="427" t="s">
        <v>623</v>
      </c>
      <c r="B54" s="15">
        <f>'TOTAL-USOS'!C51</f>
        <v>4499.87</v>
      </c>
      <c r="C54" s="15">
        <f>'TOTAL-USOS'!D51</f>
        <v>10357.870000000001</v>
      </c>
      <c r="D54" s="15">
        <f>'TOTAL-USOS'!E51</f>
        <v>31283.98</v>
      </c>
      <c r="E54" s="15">
        <f>'TOTAL-USOS'!F51</f>
        <v>2236.4</v>
      </c>
      <c r="F54" s="15">
        <f>'TOTAL-USOS'!G51</f>
        <v>210.09</v>
      </c>
    </row>
    <row r="55" spans="1:6">
      <c r="A55" s="427" t="s">
        <v>624</v>
      </c>
      <c r="B55" s="15">
        <f>'TOTAL-USOS'!C56</f>
        <v>6353.79</v>
      </c>
      <c r="C55" s="15">
        <f>'TOTAL-USOS'!D56</f>
        <v>17229.27</v>
      </c>
      <c r="D55" s="15">
        <f>'TOTAL-USOS'!E56</f>
        <v>46230.49</v>
      </c>
      <c r="E55" s="15">
        <f>'TOTAL-USOS'!F56</f>
        <v>2088.35</v>
      </c>
      <c r="F55" s="15">
        <f>'TOTAL-USOS'!G56</f>
        <v>2088.35</v>
      </c>
    </row>
    <row r="56" spans="1:6" ht="25.5">
      <c r="A56" s="427" t="s">
        <v>625</v>
      </c>
      <c r="B56" s="15">
        <f>'BA-ESQ'!$B$5</f>
        <v>750.92</v>
      </c>
      <c r="C56" s="15">
        <f>'CR-ESQ'!B24</f>
        <v>1065.6600000000001</v>
      </c>
      <c r="D56" s="15">
        <f>'JN-ESQ'!C41</f>
        <v>3619.84</v>
      </c>
      <c r="E56" s="15">
        <f>'BS-ESQ'!B3</f>
        <v>188.96</v>
      </c>
      <c r="F56" s="15">
        <f>'UFCA - ICÓ (SPU)'!H59</f>
        <v>44.934000000000005</v>
      </c>
    </row>
    <row r="57" spans="1:6" ht="25.5">
      <c r="A57" s="427" t="s">
        <v>626</v>
      </c>
      <c r="B57" s="15">
        <f>'BA-ESQ'!$E$5</f>
        <v>0</v>
      </c>
      <c r="C57" s="15">
        <f>'CR-ESQ'!E24</f>
        <v>0</v>
      </c>
      <c r="D57" s="15">
        <f>'JN-ESQ'!F41</f>
        <v>5</v>
      </c>
      <c r="E57" s="15">
        <f>'BS-ESQ'!E3</f>
        <v>0</v>
      </c>
      <c r="F57" s="15"/>
    </row>
    <row r="58" spans="1:6" ht="25.5">
      <c r="A58" s="427" t="s">
        <v>627</v>
      </c>
      <c r="B58" s="15">
        <f>'BA-ESQ'!$C$5</f>
        <v>611.15</v>
      </c>
      <c r="C58" s="15">
        <f>'CR-ESQ'!C24</f>
        <v>676.75</v>
      </c>
      <c r="D58" s="15">
        <f>'JN-ESQ'!D41</f>
        <v>1365.03</v>
      </c>
      <c r="E58" s="15">
        <f>'BS-ESQ'!C3</f>
        <v>96.13</v>
      </c>
      <c r="F58" s="15">
        <f>'UFCA - ICÓ (SPU)'!H59</f>
        <v>44.934000000000005</v>
      </c>
    </row>
    <row r="59" spans="1:6" ht="25.5">
      <c r="A59" s="427" t="s">
        <v>628</v>
      </c>
      <c r="B59" s="15">
        <f>'BA-ESQ'!$D$5</f>
        <v>0</v>
      </c>
      <c r="C59" s="15">
        <f>'CR-ESQ'!D24</f>
        <v>0</v>
      </c>
      <c r="D59" s="15">
        <f>'JN-ESQ'!E41</f>
        <v>1187.05</v>
      </c>
      <c r="E59" s="15">
        <f>'BS-ESQ'!D3</f>
        <v>0</v>
      </c>
      <c r="F59" s="15"/>
    </row>
    <row r="60" spans="1:6" ht="25.5">
      <c r="A60" s="427" t="s">
        <v>917</v>
      </c>
      <c r="B60" s="15">
        <f>'BA-ESQ'!$F$4</f>
        <v>26.54</v>
      </c>
      <c r="C60" s="15">
        <f>'CR-ESQ'!F24</f>
        <v>26.56</v>
      </c>
      <c r="D60" s="15">
        <v>0</v>
      </c>
      <c r="E60" s="15">
        <v>0</v>
      </c>
      <c r="F60" s="15"/>
    </row>
    <row r="61" spans="1:6" ht="25.5">
      <c r="A61" s="427" t="s">
        <v>629</v>
      </c>
      <c r="B61" s="32">
        <f>'TOTAL-USOS'!C57</f>
        <v>593.72</v>
      </c>
      <c r="C61" s="32">
        <f>'TOTAL-USOS'!D57</f>
        <v>386.24999999999994</v>
      </c>
      <c r="D61" s="32">
        <f>'TOTAL-USOS'!E57</f>
        <v>0</v>
      </c>
      <c r="E61" s="32">
        <f>'TOTAL-USOS'!F57</f>
        <v>0</v>
      </c>
      <c r="F61" s="32">
        <f>'TOTAL-USOS'!G57</f>
        <v>0</v>
      </c>
    </row>
    <row r="62" spans="1:6">
      <c r="A62" s="729"/>
      <c r="B62" s="729"/>
      <c r="C62" s="729"/>
      <c r="D62" s="729"/>
      <c r="E62" s="729"/>
      <c r="F62" s="729"/>
    </row>
    <row r="63" spans="1:6" ht="15" customHeight="1">
      <c r="A63" s="730" t="s">
        <v>2361</v>
      </c>
      <c r="B63" s="731"/>
      <c r="C63" s="731"/>
      <c r="D63" s="731"/>
      <c r="E63" s="731"/>
      <c r="F63" s="731"/>
    </row>
    <row r="64" spans="1:6">
      <c r="A64" s="732" t="s">
        <v>858</v>
      </c>
      <c r="B64" s="733"/>
      <c r="C64" s="733"/>
      <c r="D64" s="733"/>
      <c r="E64" s="733"/>
      <c r="F64" s="734"/>
    </row>
    <row r="65" spans="1:6">
      <c r="A65" s="735" t="s">
        <v>823</v>
      </c>
      <c r="B65" s="736"/>
      <c r="C65" s="736"/>
      <c r="D65" s="736"/>
      <c r="E65" s="736"/>
      <c r="F65" s="737"/>
    </row>
    <row r="66" spans="1:6">
      <c r="A66" s="738" t="s">
        <v>630</v>
      </c>
      <c r="B66" s="740" t="s">
        <v>1</v>
      </c>
      <c r="C66" s="741"/>
      <c r="D66" s="741"/>
      <c r="E66" s="741"/>
      <c r="F66" s="716"/>
    </row>
    <row r="67" spans="1:6" ht="25.5">
      <c r="A67" s="739"/>
      <c r="B67" s="429" t="s">
        <v>574</v>
      </c>
      <c r="C67" s="429" t="s">
        <v>605</v>
      </c>
      <c r="D67" s="429" t="s">
        <v>556</v>
      </c>
      <c r="E67" s="429" t="s">
        <v>622</v>
      </c>
      <c r="F67" s="432" t="s">
        <v>613</v>
      </c>
    </row>
    <row r="68" spans="1:6">
      <c r="A68" s="429" t="s">
        <v>623</v>
      </c>
      <c r="B68" s="15">
        <f>B54+B61</f>
        <v>5093.59</v>
      </c>
      <c r="C68" s="15">
        <f t="shared" ref="C68:F68" si="4">C54+C61</f>
        <v>10744.12</v>
      </c>
      <c r="D68" s="15">
        <f t="shared" si="4"/>
        <v>31283.98</v>
      </c>
      <c r="E68" s="15">
        <f t="shared" si="4"/>
        <v>2236.4</v>
      </c>
      <c r="F68" s="15">
        <f t="shared" si="4"/>
        <v>210.09</v>
      </c>
    </row>
    <row r="69" spans="1:6">
      <c r="A69" s="428" t="s">
        <v>624</v>
      </c>
      <c r="B69" s="15">
        <f>B55</f>
        <v>6353.79</v>
      </c>
      <c r="C69" s="15">
        <f t="shared" ref="C69:F69" si="5">C55</f>
        <v>17229.27</v>
      </c>
      <c r="D69" s="15">
        <f t="shared" si="5"/>
        <v>46230.49</v>
      </c>
      <c r="E69" s="15">
        <f t="shared" si="5"/>
        <v>2088.35</v>
      </c>
      <c r="F69" s="15">
        <f t="shared" si="5"/>
        <v>2088.35</v>
      </c>
    </row>
    <row r="70" spans="1:6" ht="25.5">
      <c r="A70" s="104" t="s">
        <v>2514</v>
      </c>
      <c r="B70" s="105">
        <f>'TOTAL-USOS'!C55</f>
        <v>1732.35</v>
      </c>
      <c r="C70" s="105">
        <f>'TOTAL-USOS'!D55</f>
        <v>2459.0299999999997</v>
      </c>
      <c r="D70" s="105">
        <f>'TOTAL-USOS'!E55</f>
        <v>15404.362700000001</v>
      </c>
      <c r="E70" s="105">
        <f>'TOTAL-USOS'!F55</f>
        <v>566.15</v>
      </c>
      <c r="F70" s="105">
        <f>'TOTAL-USOS'!G55</f>
        <v>566.15</v>
      </c>
    </row>
    <row r="71" spans="1:6">
      <c r="A71" s="104" t="s">
        <v>1997</v>
      </c>
      <c r="B71" s="12">
        <f>'TOTAL-USOS'!C59</f>
        <v>0</v>
      </c>
      <c r="C71" s="12">
        <f>'TOTAL-USOS'!D59</f>
        <v>129252.02</v>
      </c>
      <c r="D71" s="12">
        <f>'TOTAL-USOS'!E59</f>
        <v>278673.69</v>
      </c>
      <c r="E71" s="12">
        <f>'TOTAL-USOS'!F59</f>
        <v>0</v>
      </c>
      <c r="F71" s="12">
        <f>'TOTAL-USOS'!G59</f>
        <v>0</v>
      </c>
    </row>
  </sheetData>
  <mergeCells count="33">
    <mergeCell ref="A2:F2"/>
    <mergeCell ref="A1:F1"/>
    <mergeCell ref="A15:F15"/>
    <mergeCell ref="A16:F16"/>
    <mergeCell ref="A39:F39"/>
    <mergeCell ref="A25:F25"/>
    <mergeCell ref="A17:F17"/>
    <mergeCell ref="A18:A19"/>
    <mergeCell ref="A3:F3"/>
    <mergeCell ref="A4:A5"/>
    <mergeCell ref="B4:F4"/>
    <mergeCell ref="B18:F18"/>
    <mergeCell ref="A14:F14"/>
    <mergeCell ref="A42:A43"/>
    <mergeCell ref="B42:F42"/>
    <mergeCell ref="A26:F26"/>
    <mergeCell ref="A28:A29"/>
    <mergeCell ref="B28:F28"/>
    <mergeCell ref="A38:F38"/>
    <mergeCell ref="A41:F41"/>
    <mergeCell ref="A27:F27"/>
    <mergeCell ref="A40:F40"/>
    <mergeCell ref="A49:F49"/>
    <mergeCell ref="A50:F50"/>
    <mergeCell ref="A51:F51"/>
    <mergeCell ref="A52:A53"/>
    <mergeCell ref="B52:F52"/>
    <mergeCell ref="A62:F62"/>
    <mergeCell ref="A63:F63"/>
    <mergeCell ref="A64:F64"/>
    <mergeCell ref="A65:F65"/>
    <mergeCell ref="A66:A67"/>
    <mergeCell ref="B66:F66"/>
  </mergeCells>
  <pageMargins left="0.98425196850393704" right="0.51181102362204722" top="0.59055118110236227" bottom="0.59055118110236227" header="0.31496062992125984" footer="0.31496062992125984"/>
  <pageSetup paperSize="9" fitToHeight="0" orientation="landscape" r:id="rId1"/>
  <headerFooter>
    <oddHeader>&amp;C&amp;F&amp;R&amp;A</oddHeader>
    <oddFooter>&amp;LÚLTIMA ATUALIZAÇÃO: 30/05/2025&amp;CUFCA/DINFRA - Pág &amp;P/&amp;N&amp;RSUPERVISÃO DO LEVANTAMENTO: Arq. LOUISE BARBOSA</oddFooter>
  </headerFooter>
  <rowBreaks count="2" manualBreakCount="2">
    <brk id="24" max="5" man="1"/>
    <brk id="48"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6E0F5-158E-4542-8D7D-D0ACC9E81AF3}">
  <sheetPr>
    <tabColor rgb="FF92D050"/>
    <pageSetUpPr fitToPage="1"/>
  </sheetPr>
  <dimension ref="A1:H59"/>
  <sheetViews>
    <sheetView view="pageBreakPreview" zoomScaleNormal="100" zoomScaleSheetLayoutView="100" workbookViewId="0">
      <selection activeCell="Q50" sqref="Q50"/>
    </sheetView>
  </sheetViews>
  <sheetFormatPr defaultRowHeight="15"/>
  <cols>
    <col min="1" max="1" width="3.7109375" bestFit="1" customWidth="1"/>
    <col min="2" max="2" width="18" customWidth="1"/>
    <col min="3" max="3" width="9.42578125" bestFit="1" customWidth="1"/>
    <col min="4" max="4" width="10" customWidth="1"/>
    <col min="5" max="5" width="11.140625" bestFit="1" customWidth="1"/>
    <col min="6" max="6" width="11.5703125" bestFit="1" customWidth="1"/>
    <col min="7" max="7" width="7.5703125" bestFit="1" customWidth="1"/>
    <col min="8" max="8" width="10.7109375" customWidth="1"/>
  </cols>
  <sheetData>
    <row r="1" spans="1:8" ht="15" customHeight="1" thickBot="1">
      <c r="B1" s="364" t="s">
        <v>1991</v>
      </c>
      <c r="C1" s="365"/>
      <c r="D1" s="365"/>
      <c r="E1" s="365"/>
      <c r="F1" s="365"/>
      <c r="G1" s="365"/>
      <c r="H1" s="366"/>
    </row>
    <row r="2" spans="1:8" ht="15" customHeight="1">
      <c r="A2" s="120"/>
      <c r="B2" s="349" t="s">
        <v>837</v>
      </c>
      <c r="C2" s="349"/>
      <c r="D2" s="349"/>
      <c r="E2" s="350"/>
      <c r="F2" s="349"/>
      <c r="G2" s="349"/>
      <c r="H2" s="349"/>
    </row>
    <row r="3" spans="1:8" ht="15" customHeight="1">
      <c r="A3" s="120"/>
      <c r="B3" s="386" t="s">
        <v>822</v>
      </c>
      <c r="C3" s="386"/>
      <c r="D3" s="386"/>
      <c r="E3" s="387"/>
      <c r="F3" s="386"/>
      <c r="G3" s="386"/>
      <c r="H3" s="386"/>
    </row>
    <row r="4" spans="1:8" ht="15" customHeight="1">
      <c r="A4" s="120"/>
      <c r="B4" s="777" t="s">
        <v>630</v>
      </c>
      <c r="C4" s="321" t="s">
        <v>1</v>
      </c>
      <c r="D4" s="322"/>
      <c r="E4" s="323"/>
      <c r="F4" s="322"/>
      <c r="G4" s="322"/>
      <c r="H4" s="324"/>
    </row>
    <row r="5" spans="1:8" ht="25.5">
      <c r="A5" s="120"/>
      <c r="B5" s="768"/>
      <c r="C5" s="31" t="s">
        <v>574</v>
      </c>
      <c r="D5" s="31" t="s">
        <v>605</v>
      </c>
      <c r="E5" s="311" t="s">
        <v>556</v>
      </c>
      <c r="F5" s="31" t="s">
        <v>622</v>
      </c>
      <c r="G5" s="31" t="s">
        <v>613</v>
      </c>
      <c r="H5" s="31" t="s">
        <v>563</v>
      </c>
    </row>
    <row r="6" spans="1:8" ht="25.5" customHeight="1">
      <c r="A6" s="778" t="s">
        <v>827</v>
      </c>
      <c r="B6" s="123" t="s">
        <v>834</v>
      </c>
      <c r="C6" s="15">
        <f>SUM('TOTAL - BA'!B10:C10)</f>
        <v>2877.4100000000003</v>
      </c>
      <c r="D6" s="15">
        <f>SUM('TOTAL - CR'!B16:C16)</f>
        <v>4425.62</v>
      </c>
      <c r="E6" s="93">
        <f>SUM('TOTAL - JN'!B25:C25)</f>
        <v>14554.259999999997</v>
      </c>
      <c r="F6" s="15">
        <f>SUM('TOTAL - BS'!B8:C8)</f>
        <v>1229.9399999999998</v>
      </c>
      <c r="G6" s="15">
        <f>SUM('TOTAL - ICÓ'!B6:C6)</f>
        <v>172.24</v>
      </c>
      <c r="H6" s="348">
        <f>TRUNC(SUM(C6:G6),2)</f>
        <v>23259.47</v>
      </c>
    </row>
    <row r="7" spans="1:8">
      <c r="A7" s="779"/>
      <c r="B7" s="123" t="s">
        <v>552</v>
      </c>
      <c r="C7" s="15">
        <f>'TOTAL - BA'!D10</f>
        <v>102.04</v>
      </c>
      <c r="D7" s="15">
        <f>'TOTAL - CR'!D16</f>
        <v>874.4899999999999</v>
      </c>
      <c r="E7" s="93">
        <f>'TOTAL - JN'!D25</f>
        <v>1534.17</v>
      </c>
      <c r="F7" s="15">
        <f>'TOTAL - BS'!D8</f>
        <v>156.53</v>
      </c>
      <c r="G7" s="15">
        <f>'TOTAL - ICÓ'!D6</f>
        <v>0</v>
      </c>
      <c r="H7" s="348">
        <f t="shared" ref="H7:H10" si="0">TRUNC(SUM(C7:G7),2)</f>
        <v>2667.23</v>
      </c>
    </row>
    <row r="8" spans="1:8" ht="25.5">
      <c r="A8" s="779"/>
      <c r="B8" s="123" t="s">
        <v>553</v>
      </c>
      <c r="C8" s="15">
        <f>'TOTAL - BA'!E10</f>
        <v>26.97</v>
      </c>
      <c r="D8" s="15">
        <f>'TOTAL - CR'!E16</f>
        <v>233.31</v>
      </c>
      <c r="E8" s="93">
        <f>'TOTAL - JN'!E25</f>
        <v>555.5</v>
      </c>
      <c r="F8" s="15">
        <f>'TOTAL - BS'!E8</f>
        <v>0</v>
      </c>
      <c r="G8" s="15" t="str">
        <f>'TOTAL - ICÓ'!E6</f>
        <v>-</v>
      </c>
      <c r="H8" s="348">
        <f t="shared" si="0"/>
        <v>815.78</v>
      </c>
    </row>
    <row r="9" spans="1:8" ht="38.25">
      <c r="A9" s="779"/>
      <c r="B9" s="123" t="s">
        <v>554</v>
      </c>
      <c r="C9" s="15">
        <f>'TOTAL - BA'!F10</f>
        <v>1296.3000000000002</v>
      </c>
      <c r="D9" s="15">
        <f>'TOTAL - CR'!F16</f>
        <v>2345.2499999999995</v>
      </c>
      <c r="E9" s="93">
        <f>'TOTAL - JN'!F25</f>
        <v>9732.4199999999983</v>
      </c>
      <c r="F9" s="15">
        <f>'TOTAL - BS'!F8</f>
        <v>694.72</v>
      </c>
      <c r="G9" s="15">
        <f>'TOTAL - ICÓ'!F6</f>
        <v>22.590000000000003</v>
      </c>
      <c r="H9" s="348">
        <f t="shared" si="0"/>
        <v>14091.28</v>
      </c>
    </row>
    <row r="10" spans="1:8">
      <c r="A10" s="779"/>
      <c r="B10" s="123" t="s">
        <v>555</v>
      </c>
      <c r="C10" s="15">
        <f>'TOTAL - BA'!G10</f>
        <v>197.15</v>
      </c>
      <c r="D10" s="15">
        <f>'TOTAL - CR'!G16</f>
        <v>320.86</v>
      </c>
      <c r="E10" s="93">
        <f>'TOTAL - JN'!G25</f>
        <v>1403.23</v>
      </c>
      <c r="F10" s="15">
        <f>'TOTAL - BS'!G8</f>
        <v>155.20999999999998</v>
      </c>
      <c r="G10" s="15">
        <f>'TOTAL - ICÓ'!G6</f>
        <v>15.26</v>
      </c>
      <c r="H10" s="348">
        <f t="shared" si="0"/>
        <v>2091.71</v>
      </c>
    </row>
    <row r="11" spans="1:8">
      <c r="A11" s="769" t="s">
        <v>835</v>
      </c>
      <c r="B11" s="628"/>
      <c r="C11" s="53">
        <f t="shared" ref="C11:F11" si="1">SUM(C6:C10)</f>
        <v>4499.87</v>
      </c>
      <c r="D11" s="53">
        <f t="shared" si="1"/>
        <v>8199.5300000000007</v>
      </c>
      <c r="E11" s="318">
        <f t="shared" si="1"/>
        <v>27779.579999999994</v>
      </c>
      <c r="F11" s="53">
        <f t="shared" si="1"/>
        <v>2236.3999999999996</v>
      </c>
      <c r="G11" s="318">
        <f>SUM(G6:G10)</f>
        <v>210.09</v>
      </c>
      <c r="H11" s="318">
        <f t="shared" ref="H11:H16" si="2">SUM(C11:G11)</f>
        <v>42925.469999999994</v>
      </c>
    </row>
    <row r="12" spans="1:8">
      <c r="A12" s="778" t="s">
        <v>916</v>
      </c>
      <c r="B12" s="52" t="s">
        <v>601</v>
      </c>
      <c r="C12" s="49">
        <f>'TOTAL - BA'!C16</f>
        <v>2937.09</v>
      </c>
      <c r="D12" s="49">
        <f>'TOTAL - CR'!B20</f>
        <v>3646.64</v>
      </c>
      <c r="E12" s="319">
        <f>'TOTAL - JN'!B30</f>
        <v>6155.5672000000004</v>
      </c>
      <c r="F12" s="15">
        <f>'TOTAL - BS'!B14</f>
        <v>324.41000000000003</v>
      </c>
      <c r="G12" s="15">
        <f>'TOTAL - ICÓ'!B13</f>
        <v>324.41000000000003</v>
      </c>
      <c r="H12" s="348">
        <f t="shared" ref="H12:H15" si="3">TRUNC(SUM(C12:G12),2)</f>
        <v>13388.11</v>
      </c>
    </row>
    <row r="13" spans="1:8">
      <c r="A13" s="779"/>
      <c r="B13" s="52" t="s">
        <v>615</v>
      </c>
      <c r="C13" s="15">
        <f>'TOTAL - BA'!D16</f>
        <v>1684.35</v>
      </c>
      <c r="D13" s="49">
        <f ca="1">'TOTAL - CR'!C20</f>
        <v>3395.1400000000003</v>
      </c>
      <c r="E13" s="319">
        <f>'TOTAL - JN'!D30</f>
        <v>10169.327300000001</v>
      </c>
      <c r="F13" s="15">
        <f>'TOTAL - BS'!C14</f>
        <v>1197.79</v>
      </c>
      <c r="G13" s="15">
        <f>'TOTAL - ICÓ'!C13</f>
        <v>1197.79</v>
      </c>
      <c r="H13" s="348">
        <f t="shared" ca="1" si="3"/>
        <v>17644.39</v>
      </c>
    </row>
    <row r="14" spans="1:8">
      <c r="A14" s="779"/>
      <c r="B14" s="52" t="s">
        <v>619</v>
      </c>
      <c r="C14" s="18" t="s">
        <v>100</v>
      </c>
      <c r="D14" s="49">
        <f>'TOTAL - CR'!D20</f>
        <v>7488.26</v>
      </c>
      <c r="E14" s="319">
        <f>'TOTAL - JN'!E30</f>
        <v>10876.414500000001</v>
      </c>
      <c r="F14" s="15" t="s">
        <v>100</v>
      </c>
      <c r="G14" s="15">
        <v>0</v>
      </c>
      <c r="H14" s="348">
        <f t="shared" si="3"/>
        <v>18364.669999999998</v>
      </c>
    </row>
    <row r="15" spans="1:8">
      <c r="A15" s="780"/>
      <c r="B15" s="52" t="s">
        <v>602</v>
      </c>
      <c r="C15" s="15">
        <f>'TOTAL - BA'!B16</f>
        <v>1732.35</v>
      </c>
      <c r="D15" s="15">
        <f>'TOTAL - CR'!E20</f>
        <v>1913.59</v>
      </c>
      <c r="E15" s="93">
        <f>'TOTAL - JN'!C30</f>
        <v>13014.692700000001</v>
      </c>
      <c r="F15" s="15">
        <f>'TOTAL - BS'!D14</f>
        <v>566.15</v>
      </c>
      <c r="G15" s="15">
        <f>'TOTAL - ICÓ'!D13</f>
        <v>566.15</v>
      </c>
      <c r="H15" s="348">
        <f t="shared" si="3"/>
        <v>17792.93</v>
      </c>
    </row>
    <row r="16" spans="1:8">
      <c r="A16" s="769" t="s">
        <v>836</v>
      </c>
      <c r="B16" s="628"/>
      <c r="C16" s="53">
        <f t="shared" ref="C16:F16" si="4">SUM(C12:C15)</f>
        <v>6353.7900000000009</v>
      </c>
      <c r="D16" s="53">
        <f t="shared" ca="1" si="4"/>
        <v>16443.63</v>
      </c>
      <c r="E16" s="318">
        <f t="shared" si="4"/>
        <v>40216.001700000001</v>
      </c>
      <c r="F16" s="53">
        <f t="shared" si="4"/>
        <v>2088.35</v>
      </c>
      <c r="G16" s="318">
        <f>SUM(G12:G15)</f>
        <v>2088.35</v>
      </c>
      <c r="H16" s="318">
        <f t="shared" ca="1" si="2"/>
        <v>67190.121700000003</v>
      </c>
    </row>
    <row r="17" spans="1:8">
      <c r="A17" s="671" t="s">
        <v>631</v>
      </c>
      <c r="B17" s="672"/>
      <c r="C17" s="32">
        <f>'TOTAL - BA'!H10</f>
        <v>593.72</v>
      </c>
      <c r="D17" s="15" t="s">
        <v>100</v>
      </c>
      <c r="E17" s="93" t="s">
        <v>100</v>
      </c>
      <c r="F17" s="15" t="s">
        <v>100</v>
      </c>
      <c r="G17" s="15" t="s">
        <v>100</v>
      </c>
      <c r="H17" s="348">
        <f>TRUNC(SUM(C17:G17),2)</f>
        <v>593.72</v>
      </c>
    </row>
    <row r="18" spans="1:8">
      <c r="A18" s="769"/>
      <c r="B18" s="627"/>
      <c r="C18" s="627"/>
      <c r="D18" s="627"/>
      <c r="E18" s="627"/>
      <c r="F18" s="627"/>
      <c r="G18" s="627"/>
      <c r="H18" s="628"/>
    </row>
    <row r="19" spans="1:8">
      <c r="A19" s="671" t="s">
        <v>1997</v>
      </c>
      <c r="B19" s="672"/>
      <c r="C19" s="48"/>
      <c r="D19" s="49">
        <f ca="1">'TOTAL - CR'!E23</f>
        <v>132911.14000000001</v>
      </c>
      <c r="E19" s="49">
        <f>'TOTAL - JN'!E33</f>
        <v>85765.53</v>
      </c>
      <c r="F19" s="48"/>
      <c r="G19" s="48"/>
      <c r="H19" s="348">
        <f ca="1">TRUNC(SUM(C19:G19),2)</f>
        <v>218676.67</v>
      </c>
    </row>
    <row r="20" spans="1:8" ht="15.75" thickBot="1"/>
    <row r="21" spans="1:8" ht="15.75" thickBot="1">
      <c r="A21" s="120"/>
      <c r="B21" s="369" t="s">
        <v>2508</v>
      </c>
      <c r="C21" s="370"/>
      <c r="D21" s="370"/>
      <c r="E21" s="370"/>
      <c r="F21" s="370"/>
      <c r="G21" s="370"/>
      <c r="H21" s="371"/>
    </row>
    <row r="22" spans="1:8">
      <c r="A22" s="120"/>
      <c r="B22" s="353" t="s">
        <v>837</v>
      </c>
      <c r="C22" s="353"/>
      <c r="D22" s="353"/>
      <c r="E22" s="354"/>
      <c r="F22" s="353"/>
      <c r="G22" s="353"/>
      <c r="H22" s="353"/>
    </row>
    <row r="23" spans="1:8">
      <c r="A23" s="120"/>
      <c r="B23" s="367" t="s">
        <v>822</v>
      </c>
      <c r="C23" s="367"/>
      <c r="D23" s="367"/>
      <c r="E23" s="368"/>
      <c r="F23" s="367"/>
      <c r="G23" s="367"/>
      <c r="H23" s="367"/>
    </row>
    <row r="24" spans="1:8">
      <c r="A24" s="120"/>
      <c r="B24" s="772" t="s">
        <v>630</v>
      </c>
      <c r="C24" s="355" t="s">
        <v>1</v>
      </c>
      <c r="D24" s="356"/>
      <c r="E24" s="357"/>
      <c r="F24" s="356"/>
      <c r="G24" s="356"/>
      <c r="H24" s="358"/>
    </row>
    <row r="25" spans="1:8" ht="25.5">
      <c r="A25" s="120"/>
      <c r="B25" s="773"/>
      <c r="C25" s="345" t="s">
        <v>574</v>
      </c>
      <c r="D25" s="345" t="s">
        <v>605</v>
      </c>
      <c r="E25" s="359" t="s">
        <v>556</v>
      </c>
      <c r="F25" s="345" t="s">
        <v>622</v>
      </c>
      <c r="G25" s="345" t="s">
        <v>613</v>
      </c>
      <c r="H25" s="345" t="s">
        <v>563</v>
      </c>
    </row>
    <row r="26" spans="1:8" ht="25.5">
      <c r="A26" s="774" t="s">
        <v>827</v>
      </c>
      <c r="B26" s="351" t="s">
        <v>834</v>
      </c>
      <c r="C26" s="15">
        <f>SUM('TOTAL - BA'!B10:C10)</f>
        <v>2877.4100000000003</v>
      </c>
      <c r="D26" s="15">
        <f>D6+'TOTAL - CR'!C43</f>
        <v>4934.47</v>
      </c>
      <c r="E26" s="93">
        <f>TRUNC(SUM('TOTAL - JN'!B65:C65),2)</f>
        <v>16225.7</v>
      </c>
      <c r="F26" s="15">
        <f>SUM('TOTAL - BS'!B8:C8)</f>
        <v>1229.9399999999998</v>
      </c>
      <c r="G26" s="15">
        <f>SUM('TOTAL - ICÓ'!B6:C6)</f>
        <v>172.24</v>
      </c>
      <c r="H26" s="348">
        <f t="shared" ref="H26:H30" si="5">TRUNC(SUM(C26:G26),2)</f>
        <v>25439.759999999998</v>
      </c>
    </row>
    <row r="27" spans="1:8">
      <c r="A27" s="775"/>
      <c r="B27" s="351" t="s">
        <v>552</v>
      </c>
      <c r="C27" s="15">
        <f>'TOTAL - BA'!D10</f>
        <v>102.04</v>
      </c>
      <c r="D27" s="15">
        <f>D7</f>
        <v>874.4899999999999</v>
      </c>
      <c r="E27" s="93">
        <f>'TOTAL - JN'!D65</f>
        <v>1534.17</v>
      </c>
      <c r="F27" s="15">
        <f>'TOTAL - BS'!D8</f>
        <v>156.53</v>
      </c>
      <c r="G27" s="15">
        <f>'TOTAL - ICÓ'!D6</f>
        <v>0</v>
      </c>
      <c r="H27" s="348">
        <f t="shared" si="5"/>
        <v>2667.23</v>
      </c>
    </row>
    <row r="28" spans="1:8" ht="25.5">
      <c r="A28" s="775"/>
      <c r="B28" s="351" t="s">
        <v>553</v>
      </c>
      <c r="C28" s="15">
        <f>'TOTAL - BA'!E10</f>
        <v>26.97</v>
      </c>
      <c r="D28" s="15">
        <f>D8</f>
        <v>233.31</v>
      </c>
      <c r="E28" s="93">
        <f>'TOTAL - JN'!E65</f>
        <v>555.5</v>
      </c>
      <c r="F28" s="15">
        <f>'TOTAL - BS'!E8</f>
        <v>0</v>
      </c>
      <c r="G28" s="15" t="str">
        <f>'TOTAL - ICÓ'!E6</f>
        <v>-</v>
      </c>
      <c r="H28" s="348">
        <f t="shared" si="5"/>
        <v>815.78</v>
      </c>
    </row>
    <row r="29" spans="1:8" ht="38.25">
      <c r="A29" s="775"/>
      <c r="B29" s="351" t="s">
        <v>554</v>
      </c>
      <c r="C29" s="15">
        <f>'TOTAL - BA'!F10</f>
        <v>1296.3000000000002</v>
      </c>
      <c r="D29" s="15">
        <f>D9+'TOTAL - CR'!F43</f>
        <v>2408.9299999999994</v>
      </c>
      <c r="E29" s="93">
        <f>'TOTAL - JN'!F65</f>
        <v>10332.879999999999</v>
      </c>
      <c r="F29" s="15">
        <f>'TOTAL - BS'!F8</f>
        <v>694.72</v>
      </c>
      <c r="G29" s="15">
        <f>'TOTAL - ICÓ'!F6</f>
        <v>22.590000000000003</v>
      </c>
      <c r="H29" s="348">
        <f t="shared" si="5"/>
        <v>14755.42</v>
      </c>
    </row>
    <row r="30" spans="1:8">
      <c r="A30" s="775"/>
      <c r="B30" s="351" t="s">
        <v>555</v>
      </c>
      <c r="C30" s="15">
        <f>'TOTAL - BA'!G10</f>
        <v>197.15</v>
      </c>
      <c r="D30" s="15">
        <f>D10+'TOTAL - CR'!G43</f>
        <v>351.29</v>
      </c>
      <c r="E30" s="93">
        <f>'TOTAL - JN'!G65</f>
        <v>1537.14</v>
      </c>
      <c r="F30" s="15">
        <f>'TOTAL - BS'!G8</f>
        <v>155.20999999999998</v>
      </c>
      <c r="G30" s="15">
        <f>'TOTAL - ICÓ'!G6</f>
        <v>15.26</v>
      </c>
      <c r="H30" s="348">
        <f t="shared" si="5"/>
        <v>2256.0500000000002</v>
      </c>
    </row>
    <row r="31" spans="1:8">
      <c r="A31" s="770" t="s">
        <v>835</v>
      </c>
      <c r="B31" s="771"/>
      <c r="C31" s="53">
        <f>TRUNC(SUM(C26:C30),2)</f>
        <v>4499.87</v>
      </c>
      <c r="D31" s="53">
        <f t="shared" ref="D31:H31" si="6">TRUNC(SUM(D26:D30),2)</f>
        <v>8802.49</v>
      </c>
      <c r="E31" s="53">
        <f t="shared" si="6"/>
        <v>30185.39</v>
      </c>
      <c r="F31" s="53">
        <f t="shared" si="6"/>
        <v>2236.4</v>
      </c>
      <c r="G31" s="53">
        <f t="shared" si="6"/>
        <v>210.09</v>
      </c>
      <c r="H31" s="53">
        <f t="shared" si="6"/>
        <v>45934.239999999998</v>
      </c>
    </row>
    <row r="32" spans="1:8">
      <c r="A32" s="774" t="s">
        <v>916</v>
      </c>
      <c r="B32" s="352" t="s">
        <v>601</v>
      </c>
      <c r="C32" s="49">
        <f>'TOTAL - BA'!C16</f>
        <v>2937.09</v>
      </c>
      <c r="D32" s="49">
        <f>D12+'TOTAL - CR'!B46</f>
        <v>7533.48</v>
      </c>
      <c r="E32" s="319">
        <f>'TOTAL - JN'!B70</f>
        <v>7511.9772000000003</v>
      </c>
      <c r="F32" s="15">
        <f>'TOTAL - BS'!B14</f>
        <v>324.41000000000003</v>
      </c>
      <c r="G32" s="15">
        <f>'TOTAL - ICÓ'!B13</f>
        <v>324.41000000000003</v>
      </c>
      <c r="H32" s="348">
        <f t="shared" ref="H32:H35" si="7">TRUNC(SUM(C32:G32),2)</f>
        <v>18631.36</v>
      </c>
    </row>
    <row r="33" spans="1:8">
      <c r="A33" s="775"/>
      <c r="B33" s="352" t="s">
        <v>615</v>
      </c>
      <c r="C33" s="15">
        <f>'TOTAL - BA'!D16</f>
        <v>1684.35</v>
      </c>
      <c r="D33" s="49">
        <f ca="1">D13+'TOTAL - CR'!C46</f>
        <v>6790.2800000000007</v>
      </c>
      <c r="E33" s="319">
        <f>'TOTAL - JN'!D70</f>
        <v>12437.737300000001</v>
      </c>
      <c r="F33" s="15">
        <f>'TOTAL - BS'!C14</f>
        <v>1197.79</v>
      </c>
      <c r="G33" s="15">
        <f>'TOTAL - ICÓ'!C13</f>
        <v>1197.79</v>
      </c>
      <c r="H33" s="348">
        <f t="shared" ca="1" si="7"/>
        <v>23307.94</v>
      </c>
    </row>
    <row r="34" spans="1:8">
      <c r="A34" s="775"/>
      <c r="B34" s="352" t="s">
        <v>619</v>
      </c>
      <c r="C34" s="18" t="s">
        <v>100</v>
      </c>
      <c r="D34" s="49">
        <f>D14+'TOTAL - CR'!D46</f>
        <v>14976.52</v>
      </c>
      <c r="E34" s="319">
        <f>'TOTAL - JN'!E70</f>
        <v>10876.414500000001</v>
      </c>
      <c r="F34" s="15" t="s">
        <v>100</v>
      </c>
      <c r="G34" s="15">
        <v>0</v>
      </c>
      <c r="H34" s="348">
        <f t="shared" si="7"/>
        <v>25852.93</v>
      </c>
    </row>
    <row r="35" spans="1:8">
      <c r="A35" s="776"/>
      <c r="B35" s="352" t="s">
        <v>602</v>
      </c>
      <c r="C35" s="15">
        <f>'TOTAL - BA'!B16</f>
        <v>1732.35</v>
      </c>
      <c r="D35" s="15">
        <f>D15+'TOTAL - CR'!E46</f>
        <v>4372.62</v>
      </c>
      <c r="E35" s="93">
        <f>'TOTAL - JN'!C70</f>
        <v>15404.362700000001</v>
      </c>
      <c r="F35" s="15">
        <f>'TOTAL - BS'!D14</f>
        <v>566.15</v>
      </c>
      <c r="G35" s="15">
        <f>'TOTAL - ICÓ'!D13</f>
        <v>566.15</v>
      </c>
      <c r="H35" s="348">
        <f t="shared" si="7"/>
        <v>22641.63</v>
      </c>
    </row>
    <row r="36" spans="1:8">
      <c r="A36" s="770" t="s">
        <v>836</v>
      </c>
      <c r="B36" s="771"/>
      <c r="C36" s="53">
        <f>TRUNC(SUM(C32:C35),2)</f>
        <v>6353.79</v>
      </c>
      <c r="D36" s="53">
        <f t="shared" ref="D36:H36" ca="1" si="8">TRUNC(SUM(D32:D35),2)</f>
        <v>33672.9</v>
      </c>
      <c r="E36" s="53">
        <f t="shared" si="8"/>
        <v>46230.49</v>
      </c>
      <c r="F36" s="53">
        <f t="shared" si="8"/>
        <v>2088.35</v>
      </c>
      <c r="G36" s="53">
        <f t="shared" si="8"/>
        <v>2088.35</v>
      </c>
      <c r="H36" s="53">
        <f t="shared" ca="1" si="8"/>
        <v>90433.86</v>
      </c>
    </row>
    <row r="37" spans="1:8">
      <c r="A37" s="678" t="s">
        <v>631</v>
      </c>
      <c r="B37" s="679"/>
      <c r="C37" s="32">
        <f>'TOTAL - BA'!H10</f>
        <v>593.72</v>
      </c>
      <c r="D37" s="15"/>
      <c r="E37" s="93"/>
      <c r="F37" s="15"/>
      <c r="G37" s="15"/>
      <c r="H37" s="348">
        <f>TRUNC(SUM(C37:G37),2)</f>
        <v>593.72</v>
      </c>
    </row>
    <row r="38" spans="1:8">
      <c r="A38" s="770"/>
      <c r="B38" s="781"/>
      <c r="C38" s="781"/>
      <c r="D38" s="781"/>
      <c r="E38" s="781"/>
      <c r="F38" s="781"/>
      <c r="G38" s="781"/>
      <c r="H38" s="771"/>
    </row>
    <row r="39" spans="1:8">
      <c r="A39" s="678" t="s">
        <v>1997</v>
      </c>
      <c r="B39" s="679"/>
      <c r="C39" s="48"/>
      <c r="D39" s="49">
        <f>'TOTAL - CR'!E49</f>
        <v>131398.9</v>
      </c>
      <c r="E39" s="49">
        <f>'TOTAL - JN'!E73</f>
        <v>280357.69</v>
      </c>
      <c r="F39" s="48"/>
      <c r="G39" s="48"/>
      <c r="H39" s="348">
        <f>TRUNC(SUM(C39:G39),2)</f>
        <v>411756.59</v>
      </c>
    </row>
    <row r="40" spans="1:8" ht="15.75" thickBot="1"/>
    <row r="41" spans="1:8" ht="15.75" thickBot="1">
      <c r="A41" s="120"/>
      <c r="B41" s="471" t="s">
        <v>2509</v>
      </c>
      <c r="C41" s="472"/>
      <c r="D41" s="472"/>
      <c r="E41" s="472"/>
      <c r="F41" s="472"/>
      <c r="G41" s="472"/>
      <c r="H41" s="473"/>
    </row>
    <row r="42" spans="1:8">
      <c r="A42" s="120"/>
      <c r="B42" s="474" t="s">
        <v>837</v>
      </c>
      <c r="C42" s="474"/>
      <c r="D42" s="474"/>
      <c r="E42" s="475"/>
      <c r="F42" s="474"/>
      <c r="G42" s="474"/>
      <c r="H42" s="474"/>
    </row>
    <row r="43" spans="1:8">
      <c r="A43" s="120"/>
      <c r="B43" s="476" t="s">
        <v>822</v>
      </c>
      <c r="C43" s="476"/>
      <c r="D43" s="476"/>
      <c r="E43" s="477"/>
      <c r="F43" s="476"/>
      <c r="G43" s="476"/>
      <c r="H43" s="476"/>
    </row>
    <row r="44" spans="1:8">
      <c r="A44" s="120"/>
      <c r="B44" s="783" t="s">
        <v>630</v>
      </c>
      <c r="C44" s="478" t="s">
        <v>1</v>
      </c>
      <c r="D44" s="479"/>
      <c r="E44" s="480"/>
      <c r="F44" s="479"/>
      <c r="G44" s="479"/>
      <c r="H44" s="481"/>
    </row>
    <row r="45" spans="1:8" ht="25.5">
      <c r="A45" s="120"/>
      <c r="B45" s="739"/>
      <c r="C45" s="428" t="s">
        <v>574</v>
      </c>
      <c r="D45" s="428" t="s">
        <v>605</v>
      </c>
      <c r="E45" s="435" t="s">
        <v>556</v>
      </c>
      <c r="F45" s="428" t="s">
        <v>622</v>
      </c>
      <c r="G45" s="428" t="s">
        <v>613</v>
      </c>
      <c r="H45" s="428" t="s">
        <v>563</v>
      </c>
    </row>
    <row r="46" spans="1:8" ht="25.5">
      <c r="A46" s="784" t="s">
        <v>827</v>
      </c>
      <c r="B46" s="482" t="s">
        <v>834</v>
      </c>
      <c r="C46" s="15">
        <f>SUM('TOTAL - BA'!B10:C10)</f>
        <v>2877.4100000000003</v>
      </c>
      <c r="D46" s="15">
        <f>TRUNC(SUM('TOTAL - CR'!B71:C71),2)</f>
        <v>6323.97</v>
      </c>
      <c r="E46" s="93">
        <f>TRUNC(SUM('TOTAL - JN'!B104:C104),2)</f>
        <v>17165.04</v>
      </c>
      <c r="F46" s="15">
        <f>SUM('TOTAL - BS'!B8:C8)</f>
        <v>1229.9399999999998</v>
      </c>
      <c r="G46" s="15">
        <f>SUM('TOTAL - ICÓ'!B6:C6)</f>
        <v>172.24</v>
      </c>
      <c r="H46" s="348">
        <f t="shared" ref="H46:H50" si="9">TRUNC(SUM(C46:G46),2)</f>
        <v>27768.6</v>
      </c>
    </row>
    <row r="47" spans="1:8">
      <c r="A47" s="785"/>
      <c r="B47" s="482" t="s">
        <v>552</v>
      </c>
      <c r="C47" s="15">
        <f>'TOTAL - BA'!D10</f>
        <v>102.04</v>
      </c>
      <c r="D47" s="15">
        <f>'TOTAL - CR'!D71</f>
        <v>874.4899999999999</v>
      </c>
      <c r="E47" s="93">
        <f>'TOTAL - JN'!D104</f>
        <v>1534.17</v>
      </c>
      <c r="F47" s="15">
        <f>'TOTAL - BS'!D8</f>
        <v>156.53</v>
      </c>
      <c r="G47" s="15">
        <f>'TOTAL - ICÓ'!D6</f>
        <v>0</v>
      </c>
      <c r="H47" s="348">
        <f t="shared" si="9"/>
        <v>2667.23</v>
      </c>
    </row>
    <row r="48" spans="1:8" ht="25.5">
      <c r="A48" s="785"/>
      <c r="B48" s="482" t="s">
        <v>553</v>
      </c>
      <c r="C48" s="15">
        <f>'TOTAL - BA'!E10</f>
        <v>26.97</v>
      </c>
      <c r="D48" s="15">
        <f>'TOTAL - CR'!E71</f>
        <v>233.31</v>
      </c>
      <c r="E48" s="93">
        <f>'TOTAL - JN'!E104</f>
        <v>555.5</v>
      </c>
      <c r="F48" s="15">
        <f>'TOTAL - BS'!E8</f>
        <v>0</v>
      </c>
      <c r="G48" s="15" t="str">
        <f>'TOTAL - ICÓ'!E6</f>
        <v>-</v>
      </c>
      <c r="H48" s="348">
        <f t="shared" si="9"/>
        <v>815.78</v>
      </c>
    </row>
    <row r="49" spans="1:8" ht="38.25">
      <c r="A49" s="785"/>
      <c r="B49" s="482" t="s">
        <v>554</v>
      </c>
      <c r="C49" s="15">
        <f>'TOTAL - BA'!F10</f>
        <v>1296.3000000000002</v>
      </c>
      <c r="D49" s="15">
        <f>'TOTAL - CR'!F71</f>
        <v>2408.9299999999994</v>
      </c>
      <c r="E49" s="93">
        <f>'TOTAL - JN'!F104</f>
        <v>10453.450000000001</v>
      </c>
      <c r="F49" s="15">
        <f>'TOTAL - BS'!F8</f>
        <v>694.72</v>
      </c>
      <c r="G49" s="15">
        <f>'TOTAL - ICÓ'!F6</f>
        <v>22.590000000000003</v>
      </c>
      <c r="H49" s="348">
        <f t="shared" si="9"/>
        <v>14875.99</v>
      </c>
    </row>
    <row r="50" spans="1:8">
      <c r="A50" s="785"/>
      <c r="B50" s="482" t="s">
        <v>555</v>
      </c>
      <c r="C50" s="15">
        <f>'TOTAL - BA'!G10</f>
        <v>197.15</v>
      </c>
      <c r="D50" s="15">
        <f>'TOTAL - CR'!G71</f>
        <v>517.17000000000007</v>
      </c>
      <c r="E50" s="93">
        <f>'TOTAL - JN'!G104</f>
        <v>1575.82</v>
      </c>
      <c r="F50" s="15">
        <f>'TOTAL - BS'!G8</f>
        <v>155.20999999999998</v>
      </c>
      <c r="G50" s="15">
        <f>'TOTAL - ICÓ'!G6</f>
        <v>15.26</v>
      </c>
      <c r="H50" s="348">
        <f t="shared" si="9"/>
        <v>2460.61</v>
      </c>
    </row>
    <row r="51" spans="1:8">
      <c r="A51" s="782" t="s">
        <v>835</v>
      </c>
      <c r="B51" s="716"/>
      <c r="C51" s="53">
        <f>TRUNC(SUM(C46:C50),2)</f>
        <v>4499.87</v>
      </c>
      <c r="D51" s="53">
        <f t="shared" ref="D51:H51" si="10">TRUNC(SUM(D46:D50),2)</f>
        <v>10357.870000000001</v>
      </c>
      <c r="E51" s="53">
        <f t="shared" si="10"/>
        <v>31283.98</v>
      </c>
      <c r="F51" s="53">
        <f t="shared" si="10"/>
        <v>2236.4</v>
      </c>
      <c r="G51" s="53">
        <f t="shared" si="10"/>
        <v>210.09</v>
      </c>
      <c r="H51" s="53">
        <f t="shared" si="10"/>
        <v>48588.21</v>
      </c>
    </row>
    <row r="52" spans="1:8">
      <c r="A52" s="784" t="s">
        <v>916</v>
      </c>
      <c r="B52" s="483" t="s">
        <v>601</v>
      </c>
      <c r="C52" s="49">
        <f>'TOTAL - BA'!C16</f>
        <v>2937.09</v>
      </c>
      <c r="D52" s="49">
        <f>'TOTAL - CR'!B74</f>
        <v>3886.8399999999997</v>
      </c>
      <c r="E52" s="319">
        <f>'TOTAL - JN'!B109</f>
        <v>7511.9772000000003</v>
      </c>
      <c r="F52" s="15">
        <f>'TOTAL - BS'!B14</f>
        <v>324.41000000000003</v>
      </c>
      <c r="G52" s="15">
        <f>'TOTAL - ICÓ'!B13</f>
        <v>324.41000000000003</v>
      </c>
      <c r="H52" s="348">
        <f t="shared" ref="H52:H55" si="11">TRUNC(SUM(C52:G52),2)</f>
        <v>14984.72</v>
      </c>
    </row>
    <row r="53" spans="1:8">
      <c r="A53" s="785"/>
      <c r="B53" s="483" t="s">
        <v>615</v>
      </c>
      <c r="C53" s="15">
        <f>'TOTAL - BA'!D16</f>
        <v>1684.35</v>
      </c>
      <c r="D53" s="49">
        <f>'TOTAL - CR'!C74</f>
        <v>3395.1400000000003</v>
      </c>
      <c r="E53" s="319">
        <f>'TOTAL - JN'!D109</f>
        <v>12437.737300000001</v>
      </c>
      <c r="F53" s="15">
        <f>'TOTAL - BS'!C14</f>
        <v>1197.79</v>
      </c>
      <c r="G53" s="15">
        <f>'TOTAL - ICÓ'!C13</f>
        <v>1197.79</v>
      </c>
      <c r="H53" s="348">
        <f t="shared" si="11"/>
        <v>19912.8</v>
      </c>
    </row>
    <row r="54" spans="1:8">
      <c r="A54" s="785"/>
      <c r="B54" s="483" t="s">
        <v>619</v>
      </c>
      <c r="C54" s="18" t="s">
        <v>100</v>
      </c>
      <c r="D54" s="49">
        <f>'TOTAL - CR'!D74</f>
        <v>7488.26</v>
      </c>
      <c r="E54" s="319">
        <f>'TOTAL - JN'!E109</f>
        <v>10876.414500000001</v>
      </c>
      <c r="F54" s="15" t="s">
        <v>100</v>
      </c>
      <c r="G54" s="15">
        <v>0</v>
      </c>
      <c r="H54" s="348">
        <f t="shared" si="11"/>
        <v>18364.669999999998</v>
      </c>
    </row>
    <row r="55" spans="1:8">
      <c r="A55" s="786"/>
      <c r="B55" s="483" t="s">
        <v>602</v>
      </c>
      <c r="C55" s="15">
        <f>'TOTAL - BA'!B16</f>
        <v>1732.35</v>
      </c>
      <c r="D55" s="15">
        <f>'TOTAL - CR'!E74</f>
        <v>2459.0299999999997</v>
      </c>
      <c r="E55" s="93">
        <f>'TOTAL - JN'!C109</f>
        <v>15404.362700000001</v>
      </c>
      <c r="F55" s="15">
        <f>'TOTAL - BS'!D14</f>
        <v>566.15</v>
      </c>
      <c r="G55" s="15">
        <f>'TOTAL - ICÓ'!D13</f>
        <v>566.15</v>
      </c>
      <c r="H55" s="348">
        <f t="shared" si="11"/>
        <v>20728.04</v>
      </c>
    </row>
    <row r="56" spans="1:8">
      <c r="A56" s="782" t="s">
        <v>836</v>
      </c>
      <c r="B56" s="716"/>
      <c r="C56" s="53">
        <f>TRUNC(SUM(C52:C55),2)</f>
        <v>6353.79</v>
      </c>
      <c r="D56" s="53">
        <f t="shared" ref="D56:H56" si="12">TRUNC(SUM(D52:D55),2)</f>
        <v>17229.27</v>
      </c>
      <c r="E56" s="53">
        <f t="shared" si="12"/>
        <v>46230.49</v>
      </c>
      <c r="F56" s="53">
        <f t="shared" si="12"/>
        <v>2088.35</v>
      </c>
      <c r="G56" s="53">
        <f t="shared" si="12"/>
        <v>2088.35</v>
      </c>
      <c r="H56" s="53">
        <f t="shared" si="12"/>
        <v>73990.23</v>
      </c>
    </row>
    <row r="57" spans="1:8">
      <c r="A57" s="710" t="s">
        <v>631</v>
      </c>
      <c r="B57" s="711"/>
      <c r="C57" s="32">
        <f>'TOTAL - BA'!H10</f>
        <v>593.72</v>
      </c>
      <c r="D57" s="15">
        <f>'TOTAL - CR'!H71</f>
        <v>386.24999999999994</v>
      </c>
      <c r="E57" s="93"/>
      <c r="F57" s="15"/>
      <c r="G57" s="15"/>
      <c r="H57" s="348">
        <f>TRUNC(SUM(C57:G57),2)</f>
        <v>979.97</v>
      </c>
    </row>
    <row r="58" spans="1:8">
      <c r="A58" s="782"/>
      <c r="B58" s="741"/>
      <c r="C58" s="741"/>
      <c r="D58" s="741"/>
      <c r="E58" s="741"/>
      <c r="F58" s="741"/>
      <c r="G58" s="741"/>
      <c r="H58" s="716"/>
    </row>
    <row r="59" spans="1:8">
      <c r="A59" s="710" t="s">
        <v>1997</v>
      </c>
      <c r="B59" s="711"/>
      <c r="C59" s="48"/>
      <c r="D59" s="49">
        <f>'TOTAL - CR'!E77</f>
        <v>129252.02</v>
      </c>
      <c r="E59" s="49">
        <f>'TOTAL - JN'!E112</f>
        <v>278673.69</v>
      </c>
      <c r="F59" s="48"/>
      <c r="G59" s="48"/>
      <c r="H59" s="348">
        <f>TRUNC(SUM(C59:G59),2)</f>
        <v>407925.71</v>
      </c>
    </row>
  </sheetData>
  <mergeCells count="24">
    <mergeCell ref="A57:B57"/>
    <mergeCell ref="A38:H38"/>
    <mergeCell ref="A39:B39"/>
    <mergeCell ref="A58:H58"/>
    <mergeCell ref="A59:B59"/>
    <mergeCell ref="B44:B45"/>
    <mergeCell ref="A46:A50"/>
    <mergeCell ref="A51:B51"/>
    <mergeCell ref="A52:A55"/>
    <mergeCell ref="A56:B56"/>
    <mergeCell ref="B4:B5"/>
    <mergeCell ref="A11:B11"/>
    <mergeCell ref="A16:B16"/>
    <mergeCell ref="A17:B17"/>
    <mergeCell ref="A6:A10"/>
    <mergeCell ref="A12:A15"/>
    <mergeCell ref="A19:B19"/>
    <mergeCell ref="A18:H18"/>
    <mergeCell ref="A36:B36"/>
    <mergeCell ref="A37:B37"/>
    <mergeCell ref="B24:B25"/>
    <mergeCell ref="A26:A30"/>
    <mergeCell ref="A31:B31"/>
    <mergeCell ref="A32:A35"/>
  </mergeCells>
  <pageMargins left="0.98425196850393704" right="0.51181102362204722" top="0.59055118110236227" bottom="0.59055118110236227" header="0.31496062992125984" footer="0.31496062992125984"/>
  <pageSetup paperSize="9" fitToHeight="0" orientation="landscape" r:id="rId1"/>
  <headerFooter>
    <oddHeader>&amp;C&amp;F&amp;R&amp;A</oddHeader>
    <oddFooter>&amp;LÚLTIMA ATUALIZAÇÃO: 30/05/2025&amp;CUFCA/DINFRA - Pág &amp;P/&amp;N&amp;RSUPERVISÃO DO LEVANTAMENTO: Arq. LOUISE BARBOSA</oddFooter>
  </headerFooter>
  <rowBreaks count="2" manualBreakCount="2">
    <brk id="20" max="7" man="1"/>
    <brk id="40" max="7"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60C19-56C7-435C-914B-1328AB709B8B}">
  <sheetPr>
    <tabColor theme="5" tint="0.59999389629810485"/>
  </sheetPr>
  <dimension ref="A1:BX135"/>
  <sheetViews>
    <sheetView view="pageBreakPreview" zoomScale="85" zoomScaleNormal="100" zoomScaleSheetLayoutView="85" workbookViewId="0">
      <pane xSplit="1" topLeftCell="Y1" activePane="topRight" state="frozen"/>
      <selection pane="topRight" activeCell="AL16" sqref="AL16"/>
    </sheetView>
  </sheetViews>
  <sheetFormatPr defaultRowHeight="15"/>
  <cols>
    <col min="1" max="1" width="15" customWidth="1"/>
    <col min="2" max="2" width="24.42578125" bestFit="1" customWidth="1"/>
    <col min="3" max="3" width="19.28515625" customWidth="1"/>
    <col min="4" max="4" width="12.5703125" customWidth="1"/>
    <col min="5" max="5" width="12.85546875" customWidth="1"/>
    <col min="6" max="6" width="12.28515625" customWidth="1"/>
    <col min="7" max="7" width="11.5703125" customWidth="1"/>
    <col min="8" max="8" width="11.42578125" customWidth="1"/>
    <col min="9" max="9" width="11.5703125" customWidth="1"/>
    <col min="10" max="11" width="24.42578125" bestFit="1" customWidth="1"/>
    <col min="12" max="13" width="11.85546875" bestFit="1" customWidth="1"/>
    <col min="14" max="14" width="13.28515625" bestFit="1" customWidth="1"/>
    <col min="15" max="15" width="5.140625" customWidth="1"/>
    <col min="16" max="16" width="14" customWidth="1"/>
    <col min="17" max="18" width="24.42578125" bestFit="1" customWidth="1"/>
    <col min="19" max="19" width="11.85546875" customWidth="1"/>
    <col min="20" max="20" width="11.5703125" customWidth="1"/>
    <col min="21" max="21" width="10.28515625" bestFit="1" customWidth="1"/>
    <col min="22" max="22" width="5.42578125" customWidth="1"/>
    <col min="23" max="23" width="14" customWidth="1"/>
    <col min="24" max="25" width="24.42578125" bestFit="1" customWidth="1"/>
    <col min="26" max="26" width="12.42578125" customWidth="1"/>
    <col min="27" max="27" width="12.140625" customWidth="1"/>
    <col min="28" max="28" width="5.140625" customWidth="1"/>
    <col min="29" max="29" width="17.85546875" bestFit="1" customWidth="1"/>
    <col min="30" max="30" width="24.42578125" bestFit="1" customWidth="1"/>
    <col min="31" max="31" width="17.7109375" bestFit="1" customWidth="1"/>
    <col min="32" max="32" width="10.28515625" customWidth="1"/>
    <col min="33" max="33" width="5.5703125" customWidth="1"/>
    <col min="34" max="34" width="14" customWidth="1"/>
    <col min="35" max="36" width="24.42578125" bestFit="1" customWidth="1"/>
    <col min="37" max="37" width="12" customWidth="1"/>
    <col min="38" max="38" width="11.7109375" customWidth="1"/>
    <col min="39" max="39" width="6.28515625" customWidth="1"/>
    <col min="40" max="40" width="14" customWidth="1"/>
    <col min="41" max="42" width="24.42578125" bestFit="1" customWidth="1"/>
    <col min="43" max="44" width="11.85546875" customWidth="1"/>
    <col min="45" max="45" width="11.42578125" customWidth="1"/>
    <col min="46" max="46" width="10.85546875" customWidth="1"/>
    <col min="47" max="47" width="5" customWidth="1"/>
    <col min="48" max="48" width="14" customWidth="1"/>
    <col min="49" max="49" width="24.42578125" bestFit="1" customWidth="1"/>
    <col min="50" max="50" width="24.42578125" customWidth="1"/>
    <col min="51" max="51" width="9.28515625" bestFit="1" customWidth="1"/>
    <col min="52" max="52" width="6" customWidth="1"/>
    <col min="53" max="53" width="14" bestFit="1" customWidth="1"/>
    <col min="54" max="54" width="24.42578125" bestFit="1" customWidth="1"/>
    <col min="55" max="55" width="14" customWidth="1"/>
    <col min="56" max="57" width="24.42578125" bestFit="1" customWidth="1"/>
    <col min="58" max="58" width="11.42578125" customWidth="1"/>
    <col min="59" max="59" width="6" customWidth="1"/>
    <col min="60" max="60" width="17.85546875" bestFit="1" customWidth="1"/>
    <col min="61" max="61" width="24.42578125" bestFit="1" customWidth="1"/>
    <col min="62" max="62" width="24.42578125" customWidth="1"/>
    <col min="63" max="63" width="15.85546875" bestFit="1" customWidth="1"/>
    <col min="64" max="64" width="10.28515625" bestFit="1" customWidth="1"/>
    <col min="65" max="65" width="6.42578125" customWidth="1"/>
    <col min="66" max="66" width="17.85546875" bestFit="1" customWidth="1"/>
    <col min="67" max="67" width="24.42578125" bestFit="1" customWidth="1"/>
    <col min="68" max="68" width="17.7109375" bestFit="1" customWidth="1"/>
    <col min="69" max="69" width="13.140625" customWidth="1"/>
    <col min="70" max="70" width="6.5703125" customWidth="1"/>
    <col min="71" max="71" width="17.85546875" bestFit="1" customWidth="1"/>
    <col min="72" max="72" width="24.42578125" bestFit="1" customWidth="1"/>
    <col min="73" max="73" width="17.7109375" bestFit="1" customWidth="1"/>
    <col min="74" max="74" width="10" bestFit="1" customWidth="1"/>
  </cols>
  <sheetData>
    <row r="1" spans="1:76">
      <c r="D1" s="632" t="s">
        <v>1369</v>
      </c>
      <c r="E1" s="632"/>
      <c r="F1" s="632"/>
      <c r="G1" s="632"/>
      <c r="H1" s="86"/>
      <c r="I1" s="86"/>
      <c r="J1" s="86"/>
      <c r="K1" s="632" t="s">
        <v>1374</v>
      </c>
      <c r="L1" s="632"/>
      <c r="M1" s="632"/>
      <c r="N1" s="632"/>
      <c r="R1" s="629" t="s">
        <v>1404</v>
      </c>
      <c r="S1" s="630"/>
      <c r="T1" s="630"/>
      <c r="U1" s="631"/>
      <c r="X1" s="629" t="s">
        <v>1517</v>
      </c>
      <c r="Y1" s="630"/>
      <c r="Z1" s="630"/>
      <c r="AA1" s="631"/>
      <c r="AB1" s="86"/>
      <c r="AC1" s="629" t="s">
        <v>1518</v>
      </c>
      <c r="AD1" s="630"/>
      <c r="AE1" s="630"/>
      <c r="AF1" s="631"/>
      <c r="AI1" s="629" t="s">
        <v>1411</v>
      </c>
      <c r="AJ1" s="630"/>
      <c r="AK1" s="630"/>
      <c r="AL1" s="630"/>
      <c r="AP1" s="629" t="s">
        <v>1416</v>
      </c>
      <c r="AQ1" s="630"/>
      <c r="AR1" s="630"/>
      <c r="AS1" s="630"/>
      <c r="AT1" s="631"/>
      <c r="AV1" s="629" t="s">
        <v>1498</v>
      </c>
      <c r="AW1" s="630"/>
      <c r="AX1" s="630"/>
      <c r="AY1" s="630"/>
      <c r="BC1" s="629" t="s">
        <v>1425</v>
      </c>
      <c r="BD1" s="630"/>
      <c r="BE1" s="630"/>
      <c r="BF1" s="631"/>
      <c r="BI1" s="629" t="s">
        <v>1428</v>
      </c>
      <c r="BJ1" s="630"/>
      <c r="BK1" s="630"/>
      <c r="BL1" s="631"/>
      <c r="BN1" s="629" t="s">
        <v>1466</v>
      </c>
      <c r="BO1" s="630"/>
      <c r="BP1" s="630"/>
      <c r="BQ1" s="631"/>
      <c r="BS1" s="629" t="s">
        <v>1502</v>
      </c>
      <c r="BT1" s="630"/>
      <c r="BU1" s="630"/>
      <c r="BV1" s="631"/>
    </row>
    <row r="2" spans="1:76" s="10" customFormat="1" ht="45" customHeight="1">
      <c r="D2" s="232" t="s">
        <v>1469</v>
      </c>
      <c r="E2" s="194">
        <v>58089.7</v>
      </c>
      <c r="F2" s="231" t="s">
        <v>1461</v>
      </c>
      <c r="G2" s="194">
        <v>3185.85</v>
      </c>
      <c r="H2" s="80"/>
      <c r="I2" s="80"/>
      <c r="J2" s="80"/>
      <c r="K2" s="232" t="s">
        <v>1469</v>
      </c>
      <c r="L2" s="194">
        <v>12705.77</v>
      </c>
      <c r="M2" s="231" t="s">
        <v>1461</v>
      </c>
      <c r="N2" s="194" t="s">
        <v>1463</v>
      </c>
      <c r="R2" s="232" t="s">
        <v>1469</v>
      </c>
      <c r="S2" s="194">
        <v>14002.87</v>
      </c>
      <c r="T2" s="231" t="s">
        <v>1461</v>
      </c>
      <c r="U2" s="194" t="s">
        <v>1464</v>
      </c>
      <c r="X2" s="232" t="s">
        <v>1469</v>
      </c>
      <c r="Y2" s="18">
        <v>5539.38</v>
      </c>
      <c r="Z2" s="231" t="s">
        <v>1461</v>
      </c>
      <c r="AA2" s="194" t="s">
        <v>1520</v>
      </c>
      <c r="AC2" s="232" t="s">
        <v>1469</v>
      </c>
      <c r="AD2" s="18">
        <v>7118.09</v>
      </c>
      <c r="AE2" s="232" t="s">
        <v>1470</v>
      </c>
      <c r="AF2" s="194">
        <f>881.89+892.11</f>
        <v>1774</v>
      </c>
      <c r="AI2" s="232" t="s">
        <v>1469</v>
      </c>
      <c r="AJ2" s="13">
        <v>6533.48</v>
      </c>
      <c r="AK2" s="231" t="s">
        <v>1461</v>
      </c>
      <c r="AL2" s="256" t="s">
        <v>1521</v>
      </c>
      <c r="AP2" s="232" t="s">
        <v>1469</v>
      </c>
      <c r="AQ2" s="256">
        <v>23737.69</v>
      </c>
      <c r="AR2" s="194"/>
      <c r="AS2" s="231" t="s">
        <v>1461</v>
      </c>
      <c r="AT2" s="256" t="s">
        <v>1522</v>
      </c>
      <c r="AV2" s="232" t="s">
        <v>1469</v>
      </c>
      <c r="AW2" s="18">
        <v>5943.48</v>
      </c>
      <c r="AX2" s="232" t="s">
        <v>1461</v>
      </c>
      <c r="AY2" s="233">
        <v>0</v>
      </c>
      <c r="BC2" s="232" t="s">
        <v>1469</v>
      </c>
      <c r="BD2" s="194">
        <v>13300.75</v>
      </c>
      <c r="BE2" s="231" t="s">
        <v>1461</v>
      </c>
      <c r="BF2" s="194" t="s">
        <v>1465</v>
      </c>
      <c r="BI2" s="232" t="s">
        <v>1469</v>
      </c>
      <c r="BJ2" s="18">
        <v>8091.17</v>
      </c>
      <c r="BK2" s="232" t="s">
        <v>1461</v>
      </c>
      <c r="BL2" s="18" t="s">
        <v>1467</v>
      </c>
      <c r="BN2" s="232" t="s">
        <v>1469</v>
      </c>
      <c r="BO2" s="18">
        <v>10881.85</v>
      </c>
      <c r="BP2" s="232" t="s">
        <v>1461</v>
      </c>
      <c r="BQ2" s="18" t="s">
        <v>1468</v>
      </c>
      <c r="BS2" s="232" t="s">
        <v>1469</v>
      </c>
      <c r="BT2" s="18">
        <v>54372.12</v>
      </c>
      <c r="BU2" s="232" t="s">
        <v>1461</v>
      </c>
      <c r="BV2" s="18">
        <v>0</v>
      </c>
      <c r="BX2" s="10">
        <f>SUM(E2,L2,S2,Y2,AJ2,AQ2,BD2,BJ2,BO2,AD2)</f>
        <v>160000.75000000003</v>
      </c>
    </row>
    <row r="3" spans="1:76">
      <c r="D3" s="194" t="s">
        <v>1381</v>
      </c>
      <c r="E3" s="194" t="s">
        <v>1380</v>
      </c>
      <c r="F3" s="194" t="s">
        <v>1355</v>
      </c>
      <c r="G3" s="194" t="s">
        <v>1356</v>
      </c>
      <c r="H3" s="3"/>
      <c r="I3" s="3"/>
      <c r="J3" s="3"/>
      <c r="L3" s="194" t="s">
        <v>1380</v>
      </c>
      <c r="M3" s="194" t="s">
        <v>1357</v>
      </c>
      <c r="N3" s="194" t="s">
        <v>1358</v>
      </c>
      <c r="S3" s="194" t="s">
        <v>1380</v>
      </c>
      <c r="T3" s="194" t="s">
        <v>1405</v>
      </c>
      <c r="U3" s="194" t="s">
        <v>1406</v>
      </c>
      <c r="Z3" s="194" t="s">
        <v>1380</v>
      </c>
      <c r="AA3" s="194" t="s">
        <v>1409</v>
      </c>
      <c r="AB3" s="3"/>
      <c r="AC3" t="s">
        <v>1519</v>
      </c>
      <c r="AF3" s="194" t="s">
        <v>1410</v>
      </c>
      <c r="AK3" s="194" t="s">
        <v>1380</v>
      </c>
      <c r="AL3" s="194" t="s">
        <v>1414</v>
      </c>
      <c r="AQ3" s="194" t="s">
        <v>1380</v>
      </c>
      <c r="AR3" s="194" t="s">
        <v>1415</v>
      </c>
      <c r="AS3" s="194" t="s">
        <v>1419</v>
      </c>
      <c r="AT3" s="194" t="s">
        <v>1420</v>
      </c>
      <c r="AY3" s="194" t="s">
        <v>1500</v>
      </c>
      <c r="BD3" s="194" t="s">
        <v>1380</v>
      </c>
      <c r="BE3" s="194" t="s">
        <v>1426</v>
      </c>
      <c r="BF3" s="194" t="s">
        <v>1427</v>
      </c>
      <c r="BK3" s="233" t="s">
        <v>1434</v>
      </c>
      <c r="BL3" s="233" t="s">
        <v>1435</v>
      </c>
      <c r="BQ3" s="194" t="s">
        <v>1436</v>
      </c>
      <c r="BV3" s="194" t="s">
        <v>1501</v>
      </c>
    </row>
    <row r="4" spans="1:76" ht="15" customHeight="1">
      <c r="A4" s="790" t="s">
        <v>1367</v>
      </c>
      <c r="B4" s="64" t="s">
        <v>1361</v>
      </c>
      <c r="C4" s="64" t="s">
        <v>249</v>
      </c>
      <c r="D4" s="196">
        <f ca="1">SUMIF('UFCA - JN'!$I$779:$L$786,C4,'UFCA - JN'!$L$779:$L$786)</f>
        <v>44.65</v>
      </c>
      <c r="E4" s="48">
        <f ca="1">SUMIF('UFCA - JN'!$I$787:$L$788,C4,'UFCA - JN'!$L$787:$L$788)</f>
        <v>0</v>
      </c>
      <c r="F4" s="48">
        <f>SUMIF('UFCA - JN'!$I$4:$I$58,C4,'UFCA - JN'!$L$4:$L$58)</f>
        <v>43.69</v>
      </c>
      <c r="G4" s="48">
        <f>SUMIF('UFCA - JN'!$I$66:$I$78,C4,'UFCA - JN'!$L$66:$L$78)</f>
        <v>0</v>
      </c>
      <c r="I4" s="790" t="s">
        <v>1367</v>
      </c>
      <c r="J4" s="64" t="s">
        <v>1361</v>
      </c>
      <c r="K4" s="64" t="s">
        <v>249</v>
      </c>
      <c r="L4" s="48">
        <f ca="1">SUMIF('UFCA - JN'!$I$787:$L$788,K4,'UFCA - JN'!$L$787:$L$788)</f>
        <v>0</v>
      </c>
      <c r="M4" s="48">
        <f>SUMIF('UFCA - JN'!$I$79:$I$124,K4,'UFCA - JN'!$L$79:$L$124)</f>
        <v>109.10000000000001</v>
      </c>
      <c r="N4" s="48">
        <f>SUMIF('UFCA - JN'!$I$125:$I$145,K4,'UFCA - JN'!$L$125:$L$145)</f>
        <v>27.2</v>
      </c>
      <c r="P4" s="790" t="s">
        <v>1367</v>
      </c>
      <c r="Q4" s="64" t="s">
        <v>1361</v>
      </c>
      <c r="R4" s="64" t="s">
        <v>249</v>
      </c>
      <c r="S4" s="48">
        <f>SUMIF('UFCA - JN'!$I$791:$I$792,R4,'UFCA - JN'!$L$791:$L$792)</f>
        <v>0</v>
      </c>
      <c r="T4" s="48">
        <f>SUMIF('UFCA - JN'!$I$146:$I$183,R4,'UFCA - JN'!$L$146:$L$183)</f>
        <v>128.32000000000002</v>
      </c>
      <c r="U4" s="48">
        <f>SUMIF('UFCA - JN'!$I$184:$I$207,R4,'UFCA - JN'!$L$184:$L$207)</f>
        <v>30.439999999999998</v>
      </c>
      <c r="W4" s="790" t="s">
        <v>1367</v>
      </c>
      <c r="X4" s="64" t="s">
        <v>1361</v>
      </c>
      <c r="Y4" s="64" t="s">
        <v>249</v>
      </c>
      <c r="Z4" s="48">
        <f>SUMIF('UFCA - JN'!$I$793:$I$794,Y4,'UFCA - JN'!$L$793:$L$794)</f>
        <v>0</v>
      </c>
      <c r="AA4" s="48">
        <f>SUMIF('UFCA - JN'!$I$208:$I$244,Y4,'UFCA - JN'!$L$208:$L$244)</f>
        <v>15.86</v>
      </c>
      <c r="AC4" s="790" t="s">
        <v>1367</v>
      </c>
      <c r="AD4" s="64" t="s">
        <v>1361</v>
      </c>
      <c r="AE4" s="64" t="s">
        <v>249</v>
      </c>
      <c r="AF4" s="48">
        <f>SUMIF('UFCA - JN'!$I$245:$I$268,AE4,'UFCA - JN'!$L$245:$L$268)</f>
        <v>0</v>
      </c>
      <c r="AH4" s="790" t="s">
        <v>1367</v>
      </c>
      <c r="AI4" s="64" t="s">
        <v>1361</v>
      </c>
      <c r="AJ4" s="64" t="s">
        <v>249</v>
      </c>
      <c r="AK4" s="48">
        <f>SUMIF('UFCA - JN'!$I$795:$I$796,AJ4,'UFCA - JN'!$L$795:$L$796)</f>
        <v>0</v>
      </c>
      <c r="AL4" s="48">
        <f>SUMIF('UFCA - JN'!$I$269:$I$338,AJ4,'UFCA - JN'!$L$269:$L$338)</f>
        <v>1159.9799999999998</v>
      </c>
      <c r="AN4" s="790" t="s">
        <v>1367</v>
      </c>
      <c r="AO4" s="64" t="s">
        <v>1361</v>
      </c>
      <c r="AP4" s="64" t="s">
        <v>249</v>
      </c>
      <c r="AQ4" s="48">
        <f>SUMIF('UFCA - JN'!$I$797:$I$798,AP4,'UFCA - JN'!$L$797:$L$798)</f>
        <v>0</v>
      </c>
      <c r="AR4" s="48">
        <f>SUMIF('UFCA - JN'!$I$339:$I$347,AP4,'UFCA - JN'!$L$339:$L$347)</f>
        <v>82.22</v>
      </c>
      <c r="AS4" s="48">
        <f>SUMIF('UFCA - JN'!$I$348:$I$423,AP4,'UFCA - JN'!$L$348:$L$423)</f>
        <v>1128.2000000000003</v>
      </c>
      <c r="AT4" s="48">
        <f>SUMIF('UFCA - JN'!$I$424:$I$448,AP4,'UFCA - JN'!$L$424:$L$448)</f>
        <v>25.52</v>
      </c>
      <c r="AV4" s="792" t="s">
        <v>1367</v>
      </c>
      <c r="AW4" s="64" t="s">
        <v>1361</v>
      </c>
      <c r="AX4" s="64" t="s">
        <v>249</v>
      </c>
      <c r="AY4" s="48">
        <v>0</v>
      </c>
      <c r="BA4" s="792" t="s">
        <v>1367</v>
      </c>
      <c r="BB4" s="64" t="s">
        <v>1361</v>
      </c>
      <c r="BC4" s="64" t="s">
        <v>249</v>
      </c>
      <c r="BD4" s="48">
        <f>SUMIF('UFCA - JN'!$I$799:$I$800,BC4,'UFCA - JN'!$L$799:$L$800)</f>
        <v>0</v>
      </c>
      <c r="BE4" s="48">
        <f>SUMIF('UFCA - JN'!$I$449:$I$549,BC4,'UFCA - JN'!$L$449:$L$549)</f>
        <v>106.63</v>
      </c>
      <c r="BF4" s="48">
        <f>SUMIF('UFCA - JN'!$I$550:$I$577,BC4,'UFCA - JN'!$L$550:$L$577)</f>
        <v>28.019999999999996</v>
      </c>
      <c r="BH4" s="790" t="s">
        <v>1367</v>
      </c>
      <c r="BI4" s="64" t="s">
        <v>1361</v>
      </c>
      <c r="BJ4" s="64" t="s">
        <v>249</v>
      </c>
      <c r="BK4" s="48">
        <f>SUMIF('UFCA - JN'!$I$761:$I$769,BJ4,'UFCA - JN'!$L$761:$L$769)</f>
        <v>0</v>
      </c>
      <c r="BL4" s="48">
        <f>SUMIF('UFCA - JN'!$I$770:$I$778,BJ4,'UFCA - JN'!$L$770:$L$778)</f>
        <v>0</v>
      </c>
      <c r="BN4" s="790" t="s">
        <v>1367</v>
      </c>
      <c r="BO4" s="64" t="s">
        <v>1361</v>
      </c>
      <c r="BP4" s="64" t="s">
        <v>249</v>
      </c>
      <c r="BQ4" s="48">
        <f>SUMIF('UFCA - JN'!$I$578:$I$760,BP4,'UFCA - JN'!$L$578:$L$760)</f>
        <v>0</v>
      </c>
      <c r="BS4" s="790" t="s">
        <v>1367</v>
      </c>
      <c r="BT4" s="64" t="s">
        <v>1361</v>
      </c>
      <c r="BU4" s="64" t="s">
        <v>249</v>
      </c>
      <c r="BV4" s="48">
        <v>0</v>
      </c>
    </row>
    <row r="5" spans="1:76">
      <c r="A5" s="790"/>
      <c r="B5" s="96" t="s">
        <v>1363</v>
      </c>
      <c r="C5" s="48" t="s">
        <v>1364</v>
      </c>
      <c r="D5" s="196">
        <f ca="1">SUMIF('UFCA - JN'!$I$779:$L$786,C5,'UFCA - JN'!$L$779:$L$786)</f>
        <v>21.6</v>
      </c>
      <c r="E5" s="48">
        <f ca="1">SUMIF('UFCA - JN'!$I$787:$L$788,C5,'UFCA - JN'!$L$787:$L$788)</f>
        <v>0</v>
      </c>
      <c r="F5" s="48">
        <f>SUMIF('UFCA - JN'!$I$4:$I$58,C5,'UFCA - JN'!$L$4:$L$58)</f>
        <v>46.6</v>
      </c>
      <c r="G5" s="48">
        <f>SUMIF('UFCA - JN'!$I$66:$I$78,C5,'UFCA - JN'!$L$66:$L$78)</f>
        <v>0</v>
      </c>
      <c r="I5" s="790"/>
      <c r="J5" s="96" t="s">
        <v>1363</v>
      </c>
      <c r="K5" s="48" t="s">
        <v>1364</v>
      </c>
      <c r="L5" s="48">
        <f ca="1">SUMIF('UFCA - JN'!$I$787:$L$788,K5,'UFCA - JN'!$L$787:$L$788)</f>
        <v>0</v>
      </c>
      <c r="M5" s="48">
        <f>SUMIF('UFCA - JN'!$I$79:$I$124,K5,'UFCA - JN'!$L$79:$L$124)</f>
        <v>32.78</v>
      </c>
      <c r="N5" s="48">
        <f>SUMIF('UFCA - JN'!$I$125:$I$145,K5,'UFCA - JN'!$L$125:$L$145)</f>
        <v>79.44</v>
      </c>
      <c r="P5" s="790"/>
      <c r="Q5" s="96" t="s">
        <v>1363</v>
      </c>
      <c r="R5" s="48" t="s">
        <v>1364</v>
      </c>
      <c r="S5" s="48">
        <f>SUMIF('UFCA - JN'!$I$791:$I$792,R5,'UFCA - JN'!$L$791:$L$792)</f>
        <v>0</v>
      </c>
      <c r="T5" s="48">
        <f>SUMIF('UFCA - JN'!$I$146:$I$183,R5,'UFCA - JN'!$L$146:$L$183)</f>
        <v>0</v>
      </c>
      <c r="U5" s="48">
        <f>SUMIF('UFCA - JN'!$I$184:$I$207,R5,'UFCA - JN'!$L$184:$L$207)</f>
        <v>0</v>
      </c>
      <c r="W5" s="790"/>
      <c r="X5" s="96" t="s">
        <v>1363</v>
      </c>
      <c r="Y5" s="48" t="s">
        <v>1364</v>
      </c>
      <c r="Z5" s="48">
        <f>SUMIF('UFCA - JN'!$I$793:$I$794,Y5,'UFCA - JN'!$L$793:$L$794)</f>
        <v>0</v>
      </c>
      <c r="AA5" s="48">
        <f>SUMIF('UFCA - JN'!$I$208:$I$244,Y5,'UFCA - JN'!$L$208:$L$244)</f>
        <v>0</v>
      </c>
      <c r="AC5" s="790"/>
      <c r="AD5" s="96" t="s">
        <v>1363</v>
      </c>
      <c r="AE5" s="48" t="s">
        <v>1364</v>
      </c>
      <c r="AF5" s="48">
        <f>SUMIF('UFCA - JN'!$I$245:$I$268,AE5,'UFCA - JN'!$L$245:$L$268)</f>
        <v>0</v>
      </c>
      <c r="AH5" s="790"/>
      <c r="AI5" s="96" t="s">
        <v>1363</v>
      </c>
      <c r="AJ5" s="48" t="s">
        <v>1364</v>
      </c>
      <c r="AK5" s="48">
        <f>SUMIF('UFCA - JN'!$I$795:$I$796,AJ5,'UFCA - JN'!$L$795:$L$796)</f>
        <v>0</v>
      </c>
      <c r="AL5" s="48">
        <f>SUMIF('UFCA - JN'!$I$269:$I$338,AJ5,'UFCA - JN'!$L$269:$L$338)</f>
        <v>0</v>
      </c>
      <c r="AN5" s="790"/>
      <c r="AO5" s="96" t="s">
        <v>1363</v>
      </c>
      <c r="AP5" s="48" t="s">
        <v>1364</v>
      </c>
      <c r="AQ5" s="48">
        <f>SUMIF('UFCA - JN'!$I$797:$I$798,AP5,'UFCA - JN'!$L$797:$L$798)</f>
        <v>0</v>
      </c>
      <c r="AR5" s="48">
        <f>SUMIF('UFCA - JN'!$I$339:$I$347,AP5,'UFCA - JN'!$L$339:$L$347)</f>
        <v>0</v>
      </c>
      <c r="AS5" s="48">
        <f>SUMIF('UFCA - JN'!$I$348:$I$423,AP5,'UFCA - JN'!$L$348:$L$423)</f>
        <v>28.79</v>
      </c>
      <c r="AT5" s="48">
        <f>SUMIF('UFCA - JN'!$I$424:$I$448,AP5,'UFCA - JN'!$L$424:$L$448)</f>
        <v>12.76</v>
      </c>
      <c r="AV5" s="794"/>
      <c r="AW5" s="96" t="s">
        <v>1363</v>
      </c>
      <c r="AX5" s="48" t="s">
        <v>1364</v>
      </c>
      <c r="AY5" s="48">
        <v>0</v>
      </c>
      <c r="BA5" s="794"/>
      <c r="BB5" s="96" t="s">
        <v>1363</v>
      </c>
      <c r="BC5" s="48" t="s">
        <v>1364</v>
      </c>
      <c r="BD5" s="48">
        <f>SUMIF('UFCA - JN'!$I$799:$I$800,BC5,'UFCA - JN'!$L$799:$L$800)</f>
        <v>0</v>
      </c>
      <c r="BE5" s="48">
        <f>SUMIF('UFCA - JN'!$I$449:$I$549,BC5,'UFCA - JN'!$L$449:$L$549)</f>
        <v>44.13</v>
      </c>
      <c r="BF5" s="48">
        <f>SUMIF('UFCA - JN'!$I$550:$I$577,BC5,'UFCA - JN'!$L$550:$L$577)</f>
        <v>0</v>
      </c>
      <c r="BH5" s="790"/>
      <c r="BI5" s="96" t="s">
        <v>1363</v>
      </c>
      <c r="BJ5" s="48" t="s">
        <v>1364</v>
      </c>
      <c r="BK5" s="48">
        <f>SUMIF('UFCA - JN'!$I$761:$I$769,BJ5,'UFCA - JN'!$L$761:$L$769)</f>
        <v>0</v>
      </c>
      <c r="BL5" s="48">
        <f>SUMIF('UFCA - JN'!$I$770:$I$778,BJ5,'UFCA - JN'!$L$770:$L$778)</f>
        <v>0</v>
      </c>
      <c r="BN5" s="790"/>
      <c r="BO5" s="96" t="s">
        <v>1363</v>
      </c>
      <c r="BP5" s="48" t="s">
        <v>1364</v>
      </c>
      <c r="BQ5" s="48">
        <f>SUMIF('UFCA - JN'!$I$578:$I$760,BP5,'UFCA - JN'!$L$578:$L$760)</f>
        <v>0</v>
      </c>
      <c r="BS5" s="790"/>
      <c r="BT5" s="96" t="s">
        <v>1363</v>
      </c>
      <c r="BU5" s="48" t="s">
        <v>1364</v>
      </c>
      <c r="BV5" s="48">
        <v>0</v>
      </c>
    </row>
    <row r="6" spans="1:76" ht="15" customHeight="1">
      <c r="A6" s="790" t="s">
        <v>1368</v>
      </c>
      <c r="B6" s="791" t="s">
        <v>1365</v>
      </c>
      <c r="C6" s="64" t="s">
        <v>27</v>
      </c>
      <c r="D6" s="196">
        <f ca="1">SUMIF('UFCA - JN'!$I$779:$L$786,C6,'UFCA - JN'!$L$779:$L$786)</f>
        <v>0</v>
      </c>
      <c r="E6" s="48">
        <f ca="1">SUMIF('UFCA - JN'!$I$787:$L$788,C6,'UFCA - JN'!$L$787:$L$788)</f>
        <v>0</v>
      </c>
      <c r="F6" s="48">
        <f>SUMIF('UFCA - JN'!$I$4:$I$58,C6,'UFCA - JN'!$L$4:$L$58)</f>
        <v>4.62</v>
      </c>
      <c r="G6" s="48">
        <f>SUMIF('UFCA - JN'!$I$66:$I$78,C6,'UFCA - JN'!$L$66:$L$78)</f>
        <v>2.5</v>
      </c>
      <c r="I6" s="790" t="s">
        <v>1368</v>
      </c>
      <c r="J6" s="791" t="s">
        <v>1365</v>
      </c>
      <c r="K6" s="64" t="s">
        <v>27</v>
      </c>
      <c r="L6" s="48">
        <f ca="1">SUMIF('UFCA - JN'!$I$787:$L$788,K6,'UFCA - JN'!$L$787:$L$788)</f>
        <v>0</v>
      </c>
      <c r="M6" s="48">
        <f>SUMIF('UFCA - JN'!$I$79:$I$124,K6,'UFCA - JN'!$L$79:$L$124)</f>
        <v>4.62</v>
      </c>
      <c r="N6" s="48">
        <f>SUMIF('UFCA - JN'!$I$125:$I$145,K6,'UFCA - JN'!$L$125:$L$145)</f>
        <v>2.36</v>
      </c>
      <c r="P6" s="790" t="s">
        <v>1368</v>
      </c>
      <c r="Q6" s="791" t="s">
        <v>1365</v>
      </c>
      <c r="R6" s="64" t="s">
        <v>27</v>
      </c>
      <c r="S6" s="48">
        <f>SUMIF('UFCA - JN'!$I$791:$I$792,R6,'UFCA - JN'!$L$791:$L$792)</f>
        <v>0</v>
      </c>
      <c r="T6" s="48">
        <f>SUMIF('UFCA - JN'!$I$146:$I$183,R6,'UFCA - JN'!$L$146:$L$183)</f>
        <v>2.31</v>
      </c>
      <c r="U6" s="48">
        <f>SUMIF('UFCA - JN'!$I$184:$I$207,R6,'UFCA - JN'!$L$184:$L$207)</f>
        <v>0</v>
      </c>
      <c r="W6" s="790" t="s">
        <v>1368</v>
      </c>
      <c r="X6" s="791" t="s">
        <v>1365</v>
      </c>
      <c r="Y6" s="64" t="s">
        <v>27</v>
      </c>
      <c r="Z6" s="48">
        <f>SUMIF('UFCA - JN'!$I$793:$I$794,Y6,'UFCA - JN'!$L$793:$L$794)</f>
        <v>0</v>
      </c>
      <c r="AA6" s="48">
        <f>SUMIF('UFCA - JN'!$I$208:$I$244,Y6,'UFCA - JN'!$L$208:$L$244)</f>
        <v>3.44</v>
      </c>
      <c r="AC6" s="790" t="s">
        <v>1368</v>
      </c>
      <c r="AD6" s="791" t="s">
        <v>1365</v>
      </c>
      <c r="AE6" s="64" t="s">
        <v>27</v>
      </c>
      <c r="AF6" s="48">
        <f>SUMIF('UFCA - JN'!$I$245:$I$268,AE6,'UFCA - JN'!$L$245:$L$268)</f>
        <v>0</v>
      </c>
      <c r="AH6" s="790" t="s">
        <v>1368</v>
      </c>
      <c r="AI6" s="791" t="s">
        <v>1365</v>
      </c>
      <c r="AJ6" s="64" t="s">
        <v>27</v>
      </c>
      <c r="AK6" s="48">
        <f>SUMIF('UFCA - JN'!$I$795:$I$796,AJ6,'UFCA - JN'!$L$795:$L$796)</f>
        <v>0</v>
      </c>
      <c r="AL6" s="48">
        <f>SUMIF('UFCA - JN'!$I$269:$I$338,AJ6,'UFCA - JN'!$L$269:$L$338)</f>
        <v>10.48</v>
      </c>
      <c r="AN6" s="790" t="s">
        <v>1368</v>
      </c>
      <c r="AO6" s="791" t="s">
        <v>1365</v>
      </c>
      <c r="AP6" s="64" t="s">
        <v>27</v>
      </c>
      <c r="AQ6" s="48">
        <f>SUMIF('UFCA - JN'!$I$797:$I$798,AP6,'UFCA - JN'!$L$797:$L$798)</f>
        <v>0</v>
      </c>
      <c r="AR6" s="48">
        <f>SUMIF('UFCA - JN'!$I$339:$I$347,AP6,'UFCA - JN'!$L$339:$L$347)</f>
        <v>0</v>
      </c>
      <c r="AS6" s="48">
        <f>SUMIF('UFCA - JN'!$I$348:$I$423,AP6,'UFCA - JN'!$L$348:$L$423)</f>
        <v>11.08</v>
      </c>
      <c r="AT6" s="48">
        <f>SUMIF('UFCA - JN'!$I$424:$I$448,AP6,'UFCA - JN'!$L$424:$L$448)</f>
        <v>0</v>
      </c>
      <c r="AV6" s="792" t="s">
        <v>1368</v>
      </c>
      <c r="AW6" s="18" t="s">
        <v>1365</v>
      </c>
      <c r="AX6" s="64" t="s">
        <v>27</v>
      </c>
      <c r="AY6" s="48">
        <v>0</v>
      </c>
      <c r="BA6" s="792" t="s">
        <v>1368</v>
      </c>
      <c r="BB6" s="791" t="s">
        <v>1365</v>
      </c>
      <c r="BC6" s="64" t="s">
        <v>27</v>
      </c>
      <c r="BD6" s="48">
        <f>SUMIF('UFCA - JN'!$I$799:$I$800,BC6,'UFCA - JN'!$L$799:$L$800)</f>
        <v>0</v>
      </c>
      <c r="BE6" s="48">
        <f>SUMIF('UFCA - JN'!$I$449:$I$549,BC6,'UFCA - JN'!$L$449:$L$549)</f>
        <v>18</v>
      </c>
      <c r="BF6" s="48">
        <f>SUMIF('UFCA - JN'!$I$550:$I$577,BC6,'UFCA - JN'!$L$550:$L$577)</f>
        <v>0</v>
      </c>
      <c r="BH6" s="790" t="s">
        <v>1368</v>
      </c>
      <c r="BI6" s="791" t="s">
        <v>1365</v>
      </c>
      <c r="BJ6" s="64" t="s">
        <v>27</v>
      </c>
      <c r="BK6" s="48">
        <f>SUMIF('UFCA - JN'!$I$761:$I$769,BJ6,'UFCA - JN'!$L$761:$L$769)</f>
        <v>0</v>
      </c>
      <c r="BL6" s="48">
        <f>SUMIF('UFCA - JN'!$I$770:$I$778,BJ6,'UFCA - JN'!$L$770:$L$778)</f>
        <v>0</v>
      </c>
      <c r="BN6" s="790" t="s">
        <v>1368</v>
      </c>
      <c r="BO6" s="791" t="s">
        <v>1365</v>
      </c>
      <c r="BP6" s="64" t="s">
        <v>27</v>
      </c>
      <c r="BQ6" s="48">
        <f>SUMIF('UFCA - JN'!$I$578:$I$760,BP6,'UFCA - JN'!$L$578:$L$760)</f>
        <v>12.66</v>
      </c>
      <c r="BS6" s="790" t="s">
        <v>1368</v>
      </c>
      <c r="BT6" s="791" t="s">
        <v>1365</v>
      </c>
      <c r="BU6" s="64" t="s">
        <v>27</v>
      </c>
      <c r="BV6" s="48">
        <v>0</v>
      </c>
    </row>
    <row r="7" spans="1:76">
      <c r="A7" s="790"/>
      <c r="B7" s="791"/>
      <c r="C7" s="64" t="s">
        <v>355</v>
      </c>
      <c r="D7" s="196">
        <f ca="1">SUMIF('UFCA - JN'!$I$779:$L$786,C7,'UFCA - JN'!$L$779:$L$786)</f>
        <v>16.3</v>
      </c>
      <c r="E7" s="48">
        <f ca="1">SUMIF('UFCA - JN'!$I$787:$L$788,C7,'UFCA - JN'!$L$787:$L$788)</f>
        <v>0</v>
      </c>
      <c r="F7" s="48">
        <f>SUMIF('UFCA - JN'!$I$4:$I$58,C7,'UFCA - JN'!$L$4:$L$58)</f>
        <v>0</v>
      </c>
      <c r="G7" s="48">
        <f>SUMIF('UFCA - JN'!$I$66:$I$78,C7,'UFCA - JN'!$L$66:$L$78)</f>
        <v>6</v>
      </c>
      <c r="I7" s="790"/>
      <c r="J7" s="791"/>
      <c r="K7" s="64" t="s">
        <v>355</v>
      </c>
      <c r="L7" s="48">
        <f ca="1">SUMIF('UFCA - JN'!$I$787:$L$788,K7,'UFCA - JN'!$L$787:$L$788)</f>
        <v>0</v>
      </c>
      <c r="M7" s="48">
        <f>SUMIF('UFCA - JN'!$I$79:$I$124,K7,'UFCA - JN'!$L$79:$L$124)</f>
        <v>12.86</v>
      </c>
      <c r="N7" s="48">
        <f>SUMIF('UFCA - JN'!$I$125:$I$145,K7,'UFCA - JN'!$L$125:$L$145)</f>
        <v>5.95</v>
      </c>
      <c r="P7" s="790"/>
      <c r="Q7" s="791"/>
      <c r="R7" s="64" t="s">
        <v>355</v>
      </c>
      <c r="S7" s="48">
        <f>SUMIF('UFCA - JN'!$I$791:$I$792,R7,'UFCA - JN'!$L$791:$L$792)</f>
        <v>0</v>
      </c>
      <c r="T7" s="48">
        <f>SUMIF('UFCA - JN'!$I$146:$I$183,R7,'UFCA - JN'!$L$146:$L$183)</f>
        <v>65.05</v>
      </c>
      <c r="U7" s="48">
        <f>SUMIF('UFCA - JN'!$I$184:$I$207,R7,'UFCA - JN'!$L$184:$L$207)</f>
        <v>0</v>
      </c>
      <c r="W7" s="790"/>
      <c r="X7" s="791"/>
      <c r="Y7" s="64" t="s">
        <v>355</v>
      </c>
      <c r="Z7" s="48">
        <f>SUMIF('UFCA - JN'!$I$793:$I$794,Y7,'UFCA - JN'!$L$793:$L$794)</f>
        <v>0</v>
      </c>
      <c r="AA7" s="48">
        <f>SUMIF('UFCA - JN'!$I$208:$I$244,Y7,'UFCA - JN'!$L$208:$L$244)</f>
        <v>0</v>
      </c>
      <c r="AC7" s="790"/>
      <c r="AD7" s="791"/>
      <c r="AE7" s="64" t="s">
        <v>355</v>
      </c>
      <c r="AF7" s="48">
        <f>SUMIF('UFCA - JN'!$I$245:$I$268,AE7,'UFCA - JN'!$L$245:$L$268)</f>
        <v>67.08</v>
      </c>
      <c r="AH7" s="790"/>
      <c r="AI7" s="791"/>
      <c r="AJ7" s="64" t="s">
        <v>355</v>
      </c>
      <c r="AK7" s="48">
        <f>SUMIF('UFCA - JN'!$I$795:$I$796,AJ7,'UFCA - JN'!$L$795:$L$796)</f>
        <v>0</v>
      </c>
      <c r="AL7" s="48">
        <f>SUMIF('UFCA - JN'!$I$269:$I$338,AJ7,'UFCA - JN'!$L$269:$L$338)</f>
        <v>45.860000000000007</v>
      </c>
      <c r="AN7" s="790"/>
      <c r="AO7" s="791"/>
      <c r="AP7" s="64" t="s">
        <v>355</v>
      </c>
      <c r="AQ7" s="48">
        <f>SUMIF('UFCA - JN'!$I$797:$I$798,AP7,'UFCA - JN'!$L$797:$L$798)</f>
        <v>0</v>
      </c>
      <c r="AR7" s="48">
        <f>SUMIF('UFCA - JN'!$I$339:$I$347,AP7,'UFCA - JN'!$L$339:$L$347)</f>
        <v>0</v>
      </c>
      <c r="AS7" s="48">
        <f>SUMIF('UFCA - JN'!$I$348:$I$423,AP7,'UFCA - JN'!$L$348:$L$423)</f>
        <v>51.620000000000005</v>
      </c>
      <c r="AT7" s="48">
        <f>SUMIF('UFCA - JN'!$I$424:$I$448,AP7,'UFCA - JN'!$L$424:$L$448)</f>
        <v>0</v>
      </c>
      <c r="AV7" s="793"/>
      <c r="AW7" s="18"/>
      <c r="AX7" s="64" t="s">
        <v>355</v>
      </c>
      <c r="AY7" s="48">
        <v>0</v>
      </c>
      <c r="BA7" s="793"/>
      <c r="BB7" s="791"/>
      <c r="BC7" s="64" t="s">
        <v>355</v>
      </c>
      <c r="BD7" s="48">
        <f>SUMIF('UFCA - JN'!$I$799:$I$800,BC7,'UFCA - JN'!$L$799:$L$800)</f>
        <v>0</v>
      </c>
      <c r="BE7" s="48">
        <f>SUMIF('UFCA - JN'!$I$449:$I$549,BC7,'UFCA - JN'!$L$449:$L$549)</f>
        <v>58.120000000000005</v>
      </c>
      <c r="BF7" s="48">
        <f>SUMIF('UFCA - JN'!$I$550:$I$577,BC7,'UFCA - JN'!$L$550:$L$577)</f>
        <v>0</v>
      </c>
      <c r="BH7" s="790"/>
      <c r="BI7" s="791"/>
      <c r="BJ7" s="64" t="s">
        <v>355</v>
      </c>
      <c r="BK7" s="48">
        <f>SUMIF('UFCA - JN'!$I$761:$I$769,BJ7,'UFCA - JN'!$L$761:$L$769)</f>
        <v>2.5299999999999998</v>
      </c>
      <c r="BL7" s="48">
        <f>SUMIF('UFCA - JN'!$I$770:$I$778,BJ7,'UFCA - JN'!$L$770:$L$778)</f>
        <v>2.5299999999999998</v>
      </c>
      <c r="BN7" s="790"/>
      <c r="BO7" s="791"/>
      <c r="BP7" s="64" t="s">
        <v>355</v>
      </c>
      <c r="BQ7" s="48">
        <f>SUMIF('UFCA - JN'!$I$578:$I$760,BP7,'UFCA - JN'!$L$578:$L$760)</f>
        <v>94.2</v>
      </c>
      <c r="BS7" s="790"/>
      <c r="BT7" s="791"/>
      <c r="BU7" s="64" t="s">
        <v>355</v>
      </c>
      <c r="BV7" s="48">
        <v>0</v>
      </c>
    </row>
    <row r="8" spans="1:76">
      <c r="A8" s="790"/>
      <c r="B8" s="791"/>
      <c r="C8" s="64" t="s">
        <v>213</v>
      </c>
      <c r="D8" s="196">
        <v>0</v>
      </c>
      <c r="E8" s="48">
        <v>7.3</v>
      </c>
      <c r="F8" s="48">
        <f>SUMIF('UFCA - JN'!$I$4:$I$58,C8,'UFCA - JN'!$L$4:$L$58)</f>
        <v>0</v>
      </c>
      <c r="G8" s="48">
        <f>SUMIF('UFCA - JN'!$I$66:$I$78,C8,'UFCA - JN'!$L$66:$L$78)</f>
        <v>0</v>
      </c>
      <c r="I8" s="790"/>
      <c r="J8" s="791"/>
      <c r="K8" s="64" t="s">
        <v>213</v>
      </c>
      <c r="L8" s="48">
        <v>0</v>
      </c>
      <c r="M8" s="48">
        <f>SUMIF('UFCA - JN'!$I$79:$I$124,K8,'UFCA - JN'!$L$79:$L$124)</f>
        <v>0</v>
      </c>
      <c r="N8" s="48">
        <f>SUMIF('UFCA - JN'!$I$125:$I$145,K8,'UFCA - JN'!$L$125:$L$145)</f>
        <v>0</v>
      </c>
      <c r="P8" s="790"/>
      <c r="Q8" s="791"/>
      <c r="R8" s="64" t="s">
        <v>213</v>
      </c>
      <c r="S8" s="48">
        <v>0</v>
      </c>
      <c r="T8" s="48">
        <f>SUMIF('UFCA - JN'!$I$146:$I$183,R8,'UFCA - JN'!$L$146:$L$183)</f>
        <v>0</v>
      </c>
      <c r="U8" s="48">
        <f>SUMIF('UFCA - JN'!$I$184:$I$207,R8,'UFCA - JN'!$L$184:$L$207)</f>
        <v>0</v>
      </c>
      <c r="W8" s="790"/>
      <c r="X8" s="791"/>
      <c r="Y8" s="64" t="s">
        <v>213</v>
      </c>
      <c r="Z8" s="48">
        <f>SUMIF('UFCA - JN'!$I$793:$I$794,Y8,'UFCA - JN'!$L$793:$L$794)</f>
        <v>0</v>
      </c>
      <c r="AA8" s="48">
        <f>SUMIF('UFCA - JN'!$I$208:$I$244,Y8,'UFCA - JN'!$L$208:$L$244)</f>
        <v>0</v>
      </c>
      <c r="AC8" s="790"/>
      <c r="AD8" s="791"/>
      <c r="AE8" s="64" t="s">
        <v>213</v>
      </c>
      <c r="AF8" s="48">
        <f>SUMIF('UFCA - JN'!$I$245:$I$268,AE8,'UFCA - JN'!$L$245:$L$268)</f>
        <v>0</v>
      </c>
      <c r="AH8" s="790"/>
      <c r="AI8" s="791"/>
      <c r="AJ8" s="64" t="s">
        <v>213</v>
      </c>
      <c r="AK8" s="48">
        <v>0</v>
      </c>
      <c r="AL8" s="48">
        <f>SUMIF('UFCA - JN'!$I$269:$I$338,AJ8,'UFCA - JN'!$L$269:$L$338)</f>
        <v>0</v>
      </c>
      <c r="AN8" s="790"/>
      <c r="AO8" s="791"/>
      <c r="AP8" s="64" t="s">
        <v>213</v>
      </c>
      <c r="AQ8" s="48">
        <v>0</v>
      </c>
      <c r="AR8" s="48">
        <f>SUMIF('UFCA - JN'!$I$339:$I$347,AP8,'UFCA - JN'!$L$339:$L$347)</f>
        <v>0</v>
      </c>
      <c r="AS8" s="48">
        <f>SUMIF('UFCA - JN'!$I$348:$I$423,AP8,'UFCA - JN'!$L$348:$L$423)</f>
        <v>0</v>
      </c>
      <c r="AT8" s="48">
        <f>SUMIF('UFCA - JN'!$I$424:$I$448,AP8,'UFCA - JN'!$L$424:$L$448)</f>
        <v>0</v>
      </c>
      <c r="AV8" s="793"/>
      <c r="AW8" s="18"/>
      <c r="AX8" s="64" t="s">
        <v>213</v>
      </c>
      <c r="AY8" s="48">
        <v>0</v>
      </c>
      <c r="BA8" s="793"/>
      <c r="BB8" s="791"/>
      <c r="BC8" s="64" t="s">
        <v>213</v>
      </c>
      <c r="BD8" s="48">
        <v>0</v>
      </c>
      <c r="BE8" s="48">
        <f>SUMIF('UFCA - JN'!$I$449:$I$549,BC8,'UFCA - JN'!$L$449:$L$549)</f>
        <v>0</v>
      </c>
      <c r="BF8" s="48">
        <f>SUMIF('UFCA - JN'!$I$550:$I$577,BC8,'UFCA - JN'!$L$550:$L$577)</f>
        <v>0</v>
      </c>
      <c r="BH8" s="790"/>
      <c r="BI8" s="791"/>
      <c r="BJ8" s="64" t="s">
        <v>213</v>
      </c>
      <c r="BK8" s="48">
        <v>0</v>
      </c>
      <c r="BL8" s="48">
        <v>0</v>
      </c>
      <c r="BN8" s="790"/>
      <c r="BO8" s="791"/>
      <c r="BP8" s="64" t="s">
        <v>213</v>
      </c>
      <c r="BQ8" s="48">
        <f>SUMIF('UFCA - JN'!$I$578:$I$760,BP8,'UFCA - JN'!$L$578:$L$760)</f>
        <v>0</v>
      </c>
      <c r="BS8" s="790"/>
      <c r="BT8" s="791"/>
      <c r="BU8" s="64" t="s">
        <v>213</v>
      </c>
      <c r="BV8" s="48">
        <v>0</v>
      </c>
    </row>
    <row r="9" spans="1:76">
      <c r="A9" s="790"/>
      <c r="B9" s="791"/>
      <c r="C9" s="64" t="s">
        <v>1462</v>
      </c>
      <c r="D9" s="196">
        <v>0</v>
      </c>
      <c r="E9" s="48">
        <v>19.68</v>
      </c>
      <c r="F9" s="48">
        <f>SUMIF('UFCA - JN'!$I$4:$I$58,C9,'UFCA - JN'!$L$4:$L$58)</f>
        <v>0</v>
      </c>
      <c r="G9" s="48">
        <f>SUMIF('UFCA - JN'!$I$66:$I$78,C9,'UFCA - JN'!$L$66:$L$78)</f>
        <v>0</v>
      </c>
      <c r="I9" s="790"/>
      <c r="J9" s="791"/>
      <c r="K9" s="64" t="s">
        <v>1462</v>
      </c>
      <c r="L9" s="48">
        <v>0</v>
      </c>
      <c r="M9" s="48">
        <f>SUMIF('UFCA - JN'!$I$79:$I$124,K9,'UFCA - JN'!$L$79:$L$124)</f>
        <v>0</v>
      </c>
      <c r="N9" s="48">
        <f>SUMIF('UFCA - JN'!$I$125:$I$145,K9,'UFCA - JN'!$L$125:$L$145)</f>
        <v>0</v>
      </c>
      <c r="P9" s="790"/>
      <c r="Q9" s="791"/>
      <c r="R9" s="64" t="s">
        <v>1462</v>
      </c>
      <c r="S9" s="48">
        <v>0</v>
      </c>
      <c r="T9" s="48">
        <f>SUMIF('UFCA - JN'!$I$146:$I$183,R9,'UFCA - JN'!$L$146:$L$183)</f>
        <v>0</v>
      </c>
      <c r="U9" s="48">
        <f>SUMIF('UFCA - JN'!$I$184:$I$207,R9,'UFCA - JN'!$L$184:$L$207)</f>
        <v>0</v>
      </c>
      <c r="W9" s="790"/>
      <c r="X9" s="791"/>
      <c r="Y9" s="64" t="s">
        <v>1462</v>
      </c>
      <c r="Z9" s="48">
        <f>SUMIF('UFCA - JN'!$I$793:$I$794,Y9,'UFCA - JN'!$L$793:$L$794)</f>
        <v>0</v>
      </c>
      <c r="AA9" s="48">
        <f>SUMIF('UFCA - JN'!$I$208:$I$244,Y9,'UFCA - JN'!$L$208:$L$244)</f>
        <v>0</v>
      </c>
      <c r="AC9" s="790"/>
      <c r="AD9" s="791"/>
      <c r="AE9" s="64" t="s">
        <v>1462</v>
      </c>
      <c r="AF9" s="48">
        <f>SUMIF('UFCA - JN'!$I$245:$I$268,AE9,'UFCA - JN'!$L$245:$L$268)</f>
        <v>0</v>
      </c>
      <c r="AH9" s="790"/>
      <c r="AI9" s="791"/>
      <c r="AJ9" s="64" t="s">
        <v>1462</v>
      </c>
      <c r="AK9" s="48">
        <v>0</v>
      </c>
      <c r="AL9" s="48">
        <f>SUMIF('UFCA - JN'!$I$269:$I$338,AJ9,'UFCA - JN'!$L$269:$L$338)</f>
        <v>0</v>
      </c>
      <c r="AN9" s="790"/>
      <c r="AO9" s="791"/>
      <c r="AP9" s="64" t="s">
        <v>1462</v>
      </c>
      <c r="AQ9" s="48">
        <v>0</v>
      </c>
      <c r="AR9" s="48">
        <f>SUMIF('UFCA - JN'!$I$339:$I$347,AP9,'UFCA - JN'!$L$339:$L$347)</f>
        <v>0</v>
      </c>
      <c r="AS9" s="48">
        <f>SUMIF('UFCA - JN'!$I$348:$I$423,AP9,'UFCA - JN'!$L$348:$L$423)</f>
        <v>0</v>
      </c>
      <c r="AT9" s="48">
        <f>SUMIF('UFCA - JN'!$I$424:$I$448,AP9,'UFCA - JN'!$L$424:$L$448)</f>
        <v>0</v>
      </c>
      <c r="AV9" s="793"/>
      <c r="AW9" s="18"/>
      <c r="AX9" s="64" t="s">
        <v>1462</v>
      </c>
      <c r="AY9" s="48">
        <v>0</v>
      </c>
      <c r="BA9" s="793"/>
      <c r="BB9" s="791"/>
      <c r="BC9" s="64" t="s">
        <v>1462</v>
      </c>
      <c r="BD9" s="48">
        <v>0</v>
      </c>
      <c r="BE9" s="48">
        <f>SUMIF('UFCA - JN'!$I$449:$I$549,BC9,'UFCA - JN'!$L$449:$L$549)</f>
        <v>0</v>
      </c>
      <c r="BF9" s="48">
        <f>SUMIF('UFCA - JN'!$I$550:$I$577,BC9,'UFCA - JN'!$L$550:$L$577)</f>
        <v>0</v>
      </c>
      <c r="BH9" s="790"/>
      <c r="BI9" s="791"/>
      <c r="BJ9" s="64" t="s">
        <v>1462</v>
      </c>
      <c r="BK9" s="48">
        <v>0</v>
      </c>
      <c r="BL9" s="48">
        <v>0</v>
      </c>
      <c r="BN9" s="790"/>
      <c r="BO9" s="791"/>
      <c r="BP9" s="64" t="s">
        <v>1462</v>
      </c>
      <c r="BQ9" s="48">
        <v>12.45</v>
      </c>
      <c r="BS9" s="790"/>
      <c r="BT9" s="791"/>
      <c r="BU9" s="64" t="s">
        <v>1462</v>
      </c>
      <c r="BV9" s="48">
        <v>0</v>
      </c>
    </row>
    <row r="10" spans="1:76">
      <c r="A10" s="790"/>
      <c r="B10" s="791"/>
      <c r="C10" s="64" t="s">
        <v>192</v>
      </c>
      <c r="D10" s="196">
        <f ca="1">SUMIF('UFCA - JN'!$I$779:$L$786,C10,'UFCA - JN'!$L$779:$L$786)</f>
        <v>2.36</v>
      </c>
      <c r="E10" s="48">
        <f ca="1">SUMIF('UFCA - JN'!$I$787:$L$788,C10,'UFCA - JN'!$L$787:$L$788)</f>
        <v>0</v>
      </c>
      <c r="F10" s="48">
        <f>SUMIF('UFCA - JN'!$I$4:$I$58,C10,'UFCA - JN'!$L$4:$L$58)</f>
        <v>132.80000000000004</v>
      </c>
      <c r="G10" s="48">
        <f>SUMIF('UFCA - JN'!$I$66:$I$78,C10,'UFCA - JN'!$L$66:$L$78)</f>
        <v>5</v>
      </c>
      <c r="I10" s="790"/>
      <c r="J10" s="791"/>
      <c r="K10" s="64" t="s">
        <v>192</v>
      </c>
      <c r="L10" s="48">
        <f ca="1">SUMIF('UFCA - JN'!$I$787:$L$788,K10,'UFCA - JN'!$L$787:$L$788)</f>
        <v>0</v>
      </c>
      <c r="M10" s="48">
        <f>SUMIF('UFCA - JN'!$I$79:$I$124,K10,'UFCA - JN'!$L$79:$L$124)</f>
        <v>132.80000000000004</v>
      </c>
      <c r="N10" s="48">
        <f>SUMIF('UFCA - JN'!$I$125:$I$145,K10,'UFCA - JN'!$L$125:$L$145)</f>
        <v>4.72</v>
      </c>
      <c r="P10" s="790"/>
      <c r="Q10" s="791"/>
      <c r="R10" s="64" t="s">
        <v>192</v>
      </c>
      <c r="S10" s="48">
        <f>SUMIF('UFCA - JN'!$I$791:$I$792,R10,'UFCA - JN'!$L$791:$L$792)</f>
        <v>0</v>
      </c>
      <c r="T10" s="48">
        <f>SUMIF('UFCA - JN'!$I$146:$I$183,R10,'UFCA - JN'!$L$146:$L$183)</f>
        <v>62.74</v>
      </c>
      <c r="U10" s="48">
        <f>SUMIF('UFCA - JN'!$I$184:$I$207,R10,'UFCA - JN'!$L$184:$L$207)</f>
        <v>26</v>
      </c>
      <c r="W10" s="790"/>
      <c r="X10" s="791"/>
      <c r="Y10" s="64" t="s">
        <v>192</v>
      </c>
      <c r="Z10" s="48">
        <f>SUMIF('UFCA - JN'!$I$793:$I$794,Y10,'UFCA - JN'!$L$793:$L$794)</f>
        <v>0</v>
      </c>
      <c r="AA10" s="48">
        <f>SUMIF('UFCA - JN'!$I$208:$I$244,Y10,'UFCA - JN'!$L$208:$L$244)</f>
        <v>126.84</v>
      </c>
      <c r="AC10" s="790"/>
      <c r="AD10" s="791"/>
      <c r="AE10" s="64" t="s">
        <v>192</v>
      </c>
      <c r="AF10" s="48">
        <f>SUMIF('UFCA - JN'!$I$245:$I$268,AE10,'UFCA - JN'!$L$245:$L$268)</f>
        <v>43.07</v>
      </c>
      <c r="AH10" s="790"/>
      <c r="AI10" s="791"/>
      <c r="AJ10" s="64" t="s">
        <v>192</v>
      </c>
      <c r="AK10" s="48">
        <f>SUMIF('UFCA - JN'!$I$795:$I$796,AJ10,'UFCA - JN'!$L$795:$L$796)</f>
        <v>0</v>
      </c>
      <c r="AL10" s="48">
        <f>SUMIF('UFCA - JN'!$I$269:$I$338,AJ10,'UFCA - JN'!$L$269:$L$338)</f>
        <v>133.32</v>
      </c>
      <c r="AN10" s="790"/>
      <c r="AO10" s="791"/>
      <c r="AP10" s="64" t="s">
        <v>192</v>
      </c>
      <c r="AQ10" s="48">
        <f>SUMIF('UFCA - JN'!$I$797:$I$798,AP10,'UFCA - JN'!$L$797:$L$798)</f>
        <v>0</v>
      </c>
      <c r="AR10" s="48">
        <f>SUMIF('UFCA - JN'!$I$339:$I$347,AP10,'UFCA - JN'!$L$339:$L$347)</f>
        <v>0</v>
      </c>
      <c r="AS10" s="48">
        <f>SUMIF('UFCA - JN'!$I$348:$I$423,AP10,'UFCA - JN'!$L$348:$L$423)</f>
        <v>131.88000000000002</v>
      </c>
      <c r="AT10" s="48">
        <f>SUMIF('UFCA - JN'!$I$424:$I$448,AP10,'UFCA - JN'!$L$424:$L$448)</f>
        <v>25.779999999999998</v>
      </c>
      <c r="AV10" s="794"/>
      <c r="AW10" s="18"/>
      <c r="AX10" s="64" t="s">
        <v>192</v>
      </c>
      <c r="AY10" s="48">
        <v>0</v>
      </c>
      <c r="BA10" s="794"/>
      <c r="BB10" s="791"/>
      <c r="BC10" s="64" t="s">
        <v>192</v>
      </c>
      <c r="BD10" s="48">
        <f>SUMIF('UFCA - JN'!$I$799:$I$800,BC10,'UFCA - JN'!$L$799:$L$800)</f>
        <v>0</v>
      </c>
      <c r="BE10" s="48">
        <f>SUMIF('UFCA - JN'!$I$449:$I$549,BC10,'UFCA - JN'!$L$449:$L$549)</f>
        <v>185.82</v>
      </c>
      <c r="BF10" s="48">
        <f>SUMIF('UFCA - JN'!$I$550:$I$577,BC10,'UFCA - JN'!$L$550:$L$577)</f>
        <v>26.11</v>
      </c>
      <c r="BH10" s="790"/>
      <c r="BI10" s="791"/>
      <c r="BJ10" s="64" t="s">
        <v>192</v>
      </c>
      <c r="BK10" s="48">
        <f>SUMIF('UFCA - JN'!$I$761:$I$769,BJ10,'UFCA - JN'!$L$761:$L$769)</f>
        <v>37.08</v>
      </c>
      <c r="BL10" s="48">
        <f>SUMIF('UFCA - JN'!$I$770:$I$778,BJ10,'UFCA - JN'!$L$770:$L$778)</f>
        <v>37.08</v>
      </c>
      <c r="BN10" s="790"/>
      <c r="BO10" s="791"/>
      <c r="BP10" s="64" t="s">
        <v>192</v>
      </c>
      <c r="BQ10" s="48">
        <f>SUMIF('UFCA - JN'!$I$578:$I$760,BP10,'UFCA - JN'!$L$578:$L$760)</f>
        <v>289.82999999999981</v>
      </c>
      <c r="BS10" s="790"/>
      <c r="BT10" s="791"/>
      <c r="BU10" s="64" t="s">
        <v>192</v>
      </c>
      <c r="BV10" s="48">
        <v>0</v>
      </c>
    </row>
    <row r="11" spans="1:76">
      <c r="A11" s="791" t="s">
        <v>1372</v>
      </c>
      <c r="B11" s="791" t="s">
        <v>1448</v>
      </c>
      <c r="C11" s="64" t="s">
        <v>194</v>
      </c>
      <c r="D11" s="196">
        <f ca="1">SUMIF('UFCA - JN'!$I$779:$L$786,C11,'UFCA - JN'!$L$779:$L$786)</f>
        <v>278.22000000000003</v>
      </c>
      <c r="E11" s="48">
        <f ca="1">SUMIF('UFCA - JN'!$I$787:$L$788,C11,'UFCA - JN'!$L$787:$L$788)</f>
        <v>389.74</v>
      </c>
      <c r="F11" s="48">
        <f>SUMIF('UFCA - JN'!$I$4:$I$58,C11,'UFCA - JN'!$L$4:$L$58)</f>
        <v>294.88</v>
      </c>
      <c r="G11" s="48">
        <f>SUMIF('UFCA - JN'!$I$66:$I$78,C11,'UFCA - JN'!$L$66:$L$78)</f>
        <v>90.58</v>
      </c>
      <c r="I11" s="791" t="s">
        <v>1372</v>
      </c>
      <c r="J11" s="791" t="s">
        <v>1448</v>
      </c>
      <c r="K11" s="64" t="s">
        <v>194</v>
      </c>
      <c r="L11" s="48">
        <f ca="1">SUMIF('UFCA - JN'!$I$789:$L$790,K11,'UFCA - JN'!$L$789:$L$790)</f>
        <v>400.21000000000004</v>
      </c>
      <c r="M11" s="48">
        <f>SUMIF('UFCA - JN'!$I$79:$I$124,K11,'UFCA - JN'!$L$79:$L$124)</f>
        <v>295.41000000000003</v>
      </c>
      <c r="N11" s="48">
        <f>SUMIF('UFCA - JN'!$I$125:$I$145,K11,'UFCA - JN'!$L$125:$L$145)</f>
        <v>90.06</v>
      </c>
      <c r="P11" s="791" t="s">
        <v>1372</v>
      </c>
      <c r="Q11" s="791" t="s">
        <v>1448</v>
      </c>
      <c r="R11" s="64" t="s">
        <v>194</v>
      </c>
      <c r="S11" s="48">
        <f>SUMIF('UFCA - JN'!$I$791:$I$792,R11,'UFCA - JN'!$L$791:$L$792)</f>
        <v>467.7</v>
      </c>
      <c r="T11" s="48">
        <f>SUMIF('UFCA - JN'!$I$146:$I$183,R11,'UFCA - JN'!$L$146:$L$183)</f>
        <v>294.09999999999997</v>
      </c>
      <c r="U11" s="48">
        <f>SUMIF('UFCA - JN'!$I$184:$I$207,R11,'UFCA - JN'!$L$184:$L$207)</f>
        <v>114.56</v>
      </c>
      <c r="W11" s="791" t="s">
        <v>1372</v>
      </c>
      <c r="X11" s="791" t="s">
        <v>1448</v>
      </c>
      <c r="Y11" s="64" t="s">
        <v>194</v>
      </c>
      <c r="Z11" s="48">
        <f>SUMIF('UFCA - JN'!$I$793:$I$794,Y11,'UFCA - JN'!$L$793:$L$794)</f>
        <v>483.71999999999997</v>
      </c>
      <c r="AA11" s="48">
        <f>SUMIF('UFCA - JN'!$I$208:$I$244,Y11,'UFCA - JN'!$L$208:$L$244)</f>
        <v>347.92</v>
      </c>
      <c r="AC11" s="791" t="s">
        <v>1372</v>
      </c>
      <c r="AD11" s="791" t="s">
        <v>1448</v>
      </c>
      <c r="AE11" s="64" t="s">
        <v>194</v>
      </c>
      <c r="AF11" s="48">
        <f>SUMIF('UFCA - JN'!$I$245:$I$268,AE11,'UFCA - JN'!$L$245:$L$268)</f>
        <v>65.84</v>
      </c>
      <c r="AH11" s="791" t="s">
        <v>1372</v>
      </c>
      <c r="AI11" s="791" t="s">
        <v>1448</v>
      </c>
      <c r="AJ11" s="64" t="s">
        <v>194</v>
      </c>
      <c r="AK11" s="48">
        <f>SUMIF('UFCA - JN'!$I$795:$I$796,AJ11,'UFCA - JN'!$L$795:$L$796)</f>
        <v>390.15999999999997</v>
      </c>
      <c r="AL11" s="48">
        <f>SUMIF('UFCA - JN'!$I$269:$I$338,AJ11,'UFCA - JN'!$L$269:$L$338)</f>
        <v>637.46</v>
      </c>
      <c r="AN11" s="791" t="s">
        <v>1372</v>
      </c>
      <c r="AO11" s="791" t="s">
        <v>1448</v>
      </c>
      <c r="AP11" s="64" t="s">
        <v>194</v>
      </c>
      <c r="AQ11" s="48">
        <f>SUMIF('UFCA - JN'!$I$797:$I$798,AP11,'UFCA - JN'!$L$797:$L$798)</f>
        <v>410.28000000000003</v>
      </c>
      <c r="AR11" s="48">
        <f>SUMIF('UFCA - JN'!$I$339:$I$347,AP11,'UFCA - JN'!$L$339:$L$347)</f>
        <v>138.98000000000002</v>
      </c>
      <c r="AS11" s="48">
        <f>SUMIF('UFCA - JN'!$I$348:$I$423,AP11,'UFCA - JN'!$L$348:$L$423)</f>
        <v>742.83</v>
      </c>
      <c r="AT11" s="48">
        <f>SUMIF('UFCA - JN'!$I$424:$I$448,AP11,'UFCA - JN'!$L$424:$L$448)</f>
        <v>181.64</v>
      </c>
      <c r="AV11" s="638" t="s">
        <v>1372</v>
      </c>
      <c r="AW11" s="18" t="s">
        <v>1448</v>
      </c>
      <c r="AX11" s="64" t="s">
        <v>194</v>
      </c>
      <c r="AY11" s="48">
        <v>0</v>
      </c>
      <c r="BA11" s="638" t="s">
        <v>1372</v>
      </c>
      <c r="BB11" s="791" t="s">
        <v>1448</v>
      </c>
      <c r="BC11" s="64" t="s">
        <v>194</v>
      </c>
      <c r="BD11" s="48">
        <f>SUMIF('UFCA - JN'!$I$799:$I$800,BC11,'UFCA - JN'!$L$799:$L$800)</f>
        <v>372.83000000000004</v>
      </c>
      <c r="BE11" s="48">
        <f>SUMIF('UFCA - JN'!$I$449:$I$549,BC11,'UFCA - JN'!$L$449:$L$549)</f>
        <v>601.32000000000005</v>
      </c>
      <c r="BF11" s="48">
        <f>SUMIF('UFCA - JN'!$I$550:$I$577,BC11,'UFCA - JN'!$L$550:$L$577)</f>
        <v>147.38999999999999</v>
      </c>
      <c r="BH11" s="791" t="s">
        <v>1372</v>
      </c>
      <c r="BI11" s="791" t="s">
        <v>1448</v>
      </c>
      <c r="BJ11" s="64" t="s">
        <v>194</v>
      </c>
      <c r="BK11" s="48">
        <f>SUMIF('UFCA - JN'!$I$761:$I$769,BJ11,'UFCA - JN'!$L$761:$L$769)</f>
        <v>121.41</v>
      </c>
      <c r="BL11" s="48">
        <f>SUMIF('UFCA - JN'!$I$770:$I$778,BJ11,'UFCA - JN'!$L$770:$L$778)</f>
        <v>121.41</v>
      </c>
      <c r="BN11" s="791" t="s">
        <v>1372</v>
      </c>
      <c r="BO11" s="791" t="s">
        <v>1448</v>
      </c>
      <c r="BP11" s="64" t="s">
        <v>194</v>
      </c>
      <c r="BQ11" s="48">
        <f>SUMIF('UFCA - JN'!$I$578:$I$760,BP11,'UFCA - JN'!$L$578:$L$760)</f>
        <v>549.55999999999995</v>
      </c>
      <c r="BS11" s="791" t="s">
        <v>1372</v>
      </c>
      <c r="BT11" s="791" t="s">
        <v>1448</v>
      </c>
      <c r="BU11" s="64" t="s">
        <v>194</v>
      </c>
      <c r="BV11" s="48">
        <v>0</v>
      </c>
    </row>
    <row r="12" spans="1:76">
      <c r="A12" s="791"/>
      <c r="B12" s="791"/>
      <c r="C12" s="64" t="s">
        <v>1382</v>
      </c>
      <c r="D12" s="196">
        <f ca="1">SUMIF('UFCA - JN'!$I$779:$L$786,C12,'UFCA - JN'!$L$779:$L$786)</f>
        <v>43.68</v>
      </c>
      <c r="E12" s="48">
        <f ca="1">SUMIF('UFCA - JN'!$I$787:$L$788,C12,'UFCA - JN'!$L$787:$L$788)</f>
        <v>59.31</v>
      </c>
      <c r="F12" s="48">
        <f>SUMIF('UFCA - JN'!$I$4:$I$58,C12,'UFCA - JN'!$L$4:$L$58)</f>
        <v>0</v>
      </c>
      <c r="G12" s="48">
        <f>SUMIF('UFCA - JN'!$I$66:$I$78,C12,'UFCA - JN'!$L$66:$L$78)</f>
        <v>0</v>
      </c>
      <c r="I12" s="791"/>
      <c r="J12" s="791"/>
      <c r="K12" s="64" t="s">
        <v>1382</v>
      </c>
      <c r="L12" s="48">
        <f ca="1">SUMIF('UFCA - JN'!$I$789:$L$790,K12,'UFCA - JN'!$L$789:$L$790)</f>
        <v>110.89</v>
      </c>
      <c r="M12" s="48">
        <f>SUMIF('UFCA - JN'!$I$79:$I$124,K12,'UFCA - JN'!$L$79:$L$124)</f>
        <v>0</v>
      </c>
      <c r="N12" s="48">
        <f>SUMIF('UFCA - JN'!$I$125:$I$145,K12,'UFCA - JN'!$L$125:$L$145)</f>
        <v>0</v>
      </c>
      <c r="P12" s="791"/>
      <c r="Q12" s="791"/>
      <c r="R12" s="64" t="s">
        <v>1382</v>
      </c>
      <c r="S12" s="48">
        <f>SUMIF('UFCA - JN'!$I$791:$I$792,R12,'UFCA - JN'!$L$791:$L$792)</f>
        <v>119.7</v>
      </c>
      <c r="T12" s="48">
        <f>SUMIF('UFCA - JN'!$I$146:$I$183,R12,'UFCA - JN'!$L$146:$L$183)</f>
        <v>0</v>
      </c>
      <c r="U12" s="48">
        <f>SUMIF('UFCA - JN'!$I$184:$I$207,R12,'UFCA - JN'!$L$184:$L$207)</f>
        <v>0</v>
      </c>
      <c r="W12" s="791"/>
      <c r="X12" s="791"/>
      <c r="Y12" s="64" t="s">
        <v>1382</v>
      </c>
      <c r="Z12" s="48">
        <f>SUMIF('UFCA - JN'!$I$793:$I$794,Y12,'UFCA - JN'!$L$793:$L$794)</f>
        <v>74.33</v>
      </c>
      <c r="AA12" s="48">
        <f>SUMIF('UFCA - JN'!$I$208:$I$244,Y12,'UFCA - JN'!$L$208:$L$244)</f>
        <v>0</v>
      </c>
      <c r="AC12" s="791"/>
      <c r="AD12" s="791"/>
      <c r="AE12" s="64" t="s">
        <v>1382</v>
      </c>
      <c r="AF12" s="48">
        <f>SUMIF('UFCA - JN'!$I$245:$I$268,AE12,'UFCA - JN'!$L$245:$L$268)</f>
        <v>0</v>
      </c>
      <c r="AH12" s="791"/>
      <c r="AI12" s="791"/>
      <c r="AJ12" s="64" t="s">
        <v>1382</v>
      </c>
      <c r="AK12" s="48">
        <f>SUMIF('UFCA - JN'!$I$795:$I$796,AJ12,'UFCA - JN'!$L$795:$L$796)</f>
        <v>91.18</v>
      </c>
      <c r="AL12" s="48">
        <f>SUMIF('UFCA - JN'!$I$269:$I$338,AJ12,'UFCA - JN'!$L$269:$L$338)</f>
        <v>0</v>
      </c>
      <c r="AN12" s="791"/>
      <c r="AO12" s="791"/>
      <c r="AP12" s="64" t="s">
        <v>1382</v>
      </c>
      <c r="AQ12" s="48">
        <f>SUMIF('UFCA - JN'!$I$797:$I$798,AP12,'UFCA - JN'!$L$797:$L$798)</f>
        <v>49.95</v>
      </c>
      <c r="AR12" s="48">
        <f>SUMIF('UFCA - JN'!$I$339:$I$347,AP12,'UFCA - JN'!$L$339:$L$347)</f>
        <v>0</v>
      </c>
      <c r="AS12" s="48">
        <f>SUMIF('UFCA - JN'!$I$348:$I$423,AP12,'UFCA - JN'!$L$348:$L$423)</f>
        <v>0</v>
      </c>
      <c r="AT12" s="48">
        <f>SUMIF('UFCA - JN'!$I$424:$I$448,AP12,'UFCA - JN'!$L$424:$L$448)</f>
        <v>0</v>
      </c>
      <c r="AV12" s="796"/>
      <c r="AW12" s="18"/>
      <c r="AX12" s="64" t="s">
        <v>1382</v>
      </c>
      <c r="AY12" s="48">
        <v>0</v>
      </c>
      <c r="BA12" s="796"/>
      <c r="BB12" s="791"/>
      <c r="BC12" s="64" t="s">
        <v>1382</v>
      </c>
      <c r="BD12" s="48">
        <f>SUMIF('UFCA - JN'!$I$799:$I$800,BC12,'UFCA - JN'!$L$799:$L$800)</f>
        <v>52.25</v>
      </c>
      <c r="BE12" s="48">
        <f>SUMIF('UFCA - JN'!$I$449:$I$549,BC12,'UFCA - JN'!$L$449:$L$549)</f>
        <v>0</v>
      </c>
      <c r="BF12" s="48">
        <f>SUMIF('UFCA - JN'!$I$550:$I$577,BC12,'UFCA - JN'!$L$550:$L$577)</f>
        <v>0</v>
      </c>
      <c r="BH12" s="791"/>
      <c r="BI12" s="791"/>
      <c r="BJ12" s="64" t="s">
        <v>1382</v>
      </c>
      <c r="BK12" s="48">
        <f>SUMIF('UFCA - JN'!$I$761:$I$769,BJ12,'UFCA - JN'!$L$761:$L$769)</f>
        <v>0</v>
      </c>
      <c r="BL12" s="48">
        <f>SUMIF('UFCA - JN'!$I$770:$I$778,BJ12,'UFCA - JN'!$L$770:$L$778)</f>
        <v>0</v>
      </c>
      <c r="BN12" s="791"/>
      <c r="BO12" s="791"/>
      <c r="BP12" s="64" t="s">
        <v>1382</v>
      </c>
      <c r="BQ12" s="48">
        <f>SUMIF('UFCA - JN'!$I$578:$I$760,BP12,'UFCA - JN'!$L$578:$L$760)</f>
        <v>0</v>
      </c>
      <c r="BS12" s="791"/>
      <c r="BT12" s="791"/>
      <c r="BU12" s="64" t="s">
        <v>1382</v>
      </c>
      <c r="BV12" s="48">
        <v>0</v>
      </c>
    </row>
    <row r="13" spans="1:76">
      <c r="A13" s="791"/>
      <c r="B13" s="791"/>
      <c r="C13" s="64" t="s">
        <v>1370</v>
      </c>
      <c r="D13" s="196">
        <f ca="1">SUMIF('UFCA - JN'!$I$779:$L$786,C13,'UFCA - JN'!$L$779:$L$786)</f>
        <v>0</v>
      </c>
      <c r="E13" s="48">
        <f ca="1">SUMIF('UFCA - JN'!$I$787:$L$788,C13,'UFCA - JN'!$L$787:$L$788)</f>
        <v>0</v>
      </c>
      <c r="F13" s="48">
        <f>SUMIF('UFCA - JN'!$I$4:$I$58,C13,'UFCA - JN'!$L$4:$L$58)</f>
        <v>7.2</v>
      </c>
      <c r="G13" s="48">
        <f>SUMIF('UFCA - JN'!$I$66:$I$78,C13,'UFCA - JN'!$L$66:$L$78)</f>
        <v>2.31</v>
      </c>
      <c r="I13" s="791"/>
      <c r="J13" s="791"/>
      <c r="K13" s="64" t="s">
        <v>1370</v>
      </c>
      <c r="L13" s="48">
        <f ca="1">SUMIF('UFCA - JN'!$I$789:$L$790,K13,'UFCA - JN'!$L$789:$L$790)</f>
        <v>0</v>
      </c>
      <c r="M13" s="48">
        <f>SUMIF('UFCA - JN'!$I$79:$I$124,K13,'UFCA - JN'!$L$79:$L$124)</f>
        <v>7.2</v>
      </c>
      <c r="N13" s="48">
        <f>SUMIF('UFCA - JN'!$I$125:$I$145,K13,'UFCA - JN'!$L$125:$L$145)</f>
        <v>2.31</v>
      </c>
      <c r="P13" s="791"/>
      <c r="Q13" s="791"/>
      <c r="R13" s="64" t="s">
        <v>1370</v>
      </c>
      <c r="S13" s="48">
        <f>SUMIF('UFCA - JN'!$I$791:$I$792,R13,'UFCA - JN'!$L$791:$L$792)</f>
        <v>0</v>
      </c>
      <c r="T13" s="48">
        <f>SUMIF('UFCA - JN'!$I$146:$I$183,R13,'UFCA - JN'!$L$146:$L$183)</f>
        <v>43.24</v>
      </c>
      <c r="U13" s="48">
        <f>SUMIF('UFCA - JN'!$I$184:$I$207,R13,'UFCA - JN'!$L$184:$L$207)</f>
        <v>0</v>
      </c>
      <c r="W13" s="791"/>
      <c r="X13" s="791"/>
      <c r="Y13" s="64" t="s">
        <v>1370</v>
      </c>
      <c r="Z13" s="48">
        <f>SUMIF('UFCA - JN'!$I$793:$I$794,Y13,'UFCA - JN'!$L$793:$L$794)</f>
        <v>0</v>
      </c>
      <c r="AA13" s="48">
        <f>SUMIF('UFCA - JN'!$I$208:$I$244,Y13,'UFCA - JN'!$L$208:$L$244)</f>
        <v>0</v>
      </c>
      <c r="AC13" s="791"/>
      <c r="AD13" s="791"/>
      <c r="AE13" s="64" t="s">
        <v>1370</v>
      </c>
      <c r="AF13" s="48">
        <f>SUMIF('UFCA - JN'!$I$245:$I$268,AE13,'UFCA - JN'!$L$245:$L$268)</f>
        <v>0</v>
      </c>
      <c r="AH13" s="791"/>
      <c r="AI13" s="791"/>
      <c r="AJ13" s="64" t="s">
        <v>1370</v>
      </c>
      <c r="AK13" s="48">
        <f>SUMIF('UFCA - JN'!$I$795:$I$796,AJ13,'UFCA - JN'!$L$795:$L$796)</f>
        <v>0</v>
      </c>
      <c r="AL13" s="48">
        <f>SUMIF('UFCA - JN'!$I$269:$I$338,AJ13,'UFCA - JN'!$L$269:$L$338)</f>
        <v>0</v>
      </c>
      <c r="AN13" s="791"/>
      <c r="AO13" s="791"/>
      <c r="AP13" s="64" t="s">
        <v>1370</v>
      </c>
      <c r="AQ13" s="48">
        <f>SUMIF('UFCA - JN'!$I$797:$I$798,AP13,'UFCA - JN'!$L$797:$L$798)</f>
        <v>0</v>
      </c>
      <c r="AR13" s="48">
        <f>SUMIF('UFCA - JN'!$I$339:$I$347,AP13,'UFCA - JN'!$L$339:$L$347)</f>
        <v>0</v>
      </c>
      <c r="AS13" s="48">
        <f>SUMIF('UFCA - JN'!$I$348:$I$423,AP13,'UFCA - JN'!$L$348:$L$423)</f>
        <v>0</v>
      </c>
      <c r="AT13" s="48">
        <f>SUMIF('UFCA - JN'!$I$424:$I$448,AP13,'UFCA - JN'!$L$424:$L$448)</f>
        <v>0</v>
      </c>
      <c r="AV13" s="639"/>
      <c r="AW13" s="18"/>
      <c r="AX13" s="64" t="s">
        <v>1370</v>
      </c>
      <c r="AY13" s="48">
        <v>0</v>
      </c>
      <c r="BA13" s="639"/>
      <c r="BB13" s="791"/>
      <c r="BC13" s="64" t="s">
        <v>1370</v>
      </c>
      <c r="BD13" s="48">
        <f>SUMIF('UFCA - JN'!$I$799:$I$800,BC13,'UFCA - JN'!$L$799:$L$800)</f>
        <v>0</v>
      </c>
      <c r="BE13" s="48">
        <f>SUMIF('UFCA - JN'!$I$449:$I$549,BC13,'UFCA - JN'!$L$449:$L$549)</f>
        <v>0</v>
      </c>
      <c r="BF13" s="48">
        <f>SUMIF('UFCA - JN'!$I$550:$I$577,BC13,'UFCA - JN'!$L$550:$L$577)</f>
        <v>0</v>
      </c>
      <c r="BH13" s="791"/>
      <c r="BI13" s="791"/>
      <c r="BJ13" s="64" t="s">
        <v>1370</v>
      </c>
      <c r="BK13" s="48">
        <f>SUMIF('UFCA - JN'!$I$761:$I$769,BJ13,'UFCA - JN'!$L$761:$L$769)</f>
        <v>0</v>
      </c>
      <c r="BL13" s="48">
        <f>SUMIF('UFCA - JN'!$I$770:$I$778,BJ13,'UFCA - JN'!$L$770:$L$778)</f>
        <v>0</v>
      </c>
      <c r="BN13" s="791"/>
      <c r="BO13" s="791"/>
      <c r="BP13" s="64" t="s">
        <v>1370</v>
      </c>
      <c r="BQ13" s="48">
        <f>SUMIF('UFCA - JN'!$I$578:$I$760,BP13,'UFCA - JN'!$L$578:$L$760)</f>
        <v>0</v>
      </c>
      <c r="BS13" s="791"/>
      <c r="BT13" s="791"/>
      <c r="BU13" s="64" t="s">
        <v>1370</v>
      </c>
      <c r="BV13" s="48">
        <v>0</v>
      </c>
    </row>
    <row r="14" spans="1:76" ht="15" customHeight="1">
      <c r="A14" s="791" t="s">
        <v>1373</v>
      </c>
      <c r="B14" s="789"/>
      <c r="C14" s="64" t="s">
        <v>175</v>
      </c>
      <c r="D14" s="196">
        <f ca="1">SUMIF('UFCA - JN'!$I$779:$L$786,C14,'UFCA - JN'!$L$779:$L$786)</f>
        <v>0</v>
      </c>
      <c r="E14" s="48">
        <f ca="1">SUMIF('UFCA - JN'!$I$787:$L$788,C14,'UFCA - JN'!$L$787:$L$788)</f>
        <v>0</v>
      </c>
      <c r="F14" s="48">
        <f>SUMIF('UFCA - JN'!$I$4:$I$58,C14,'UFCA - JN'!$L$4:$L$58)</f>
        <v>0</v>
      </c>
      <c r="G14" s="48">
        <f>SUMIF('UFCA - JN'!$I$66:$I$78,C14,'UFCA - JN'!$L$66:$L$78)</f>
        <v>0</v>
      </c>
      <c r="I14" s="792" t="s">
        <v>1373</v>
      </c>
      <c r="J14" s="789"/>
      <c r="K14" s="64" t="s">
        <v>175</v>
      </c>
      <c r="L14" s="48">
        <f ca="1">SUMIF('UFCA - JN'!$I$789:$L$790,K14,'UFCA - JN'!$L$789:$L$790)</f>
        <v>0</v>
      </c>
      <c r="M14" s="48">
        <f>SUMIF('UFCA - JN'!$I$79:$I$124,K14,'UFCA - JN'!$L$79:$L$124)</f>
        <v>0</v>
      </c>
      <c r="N14" s="48">
        <f>SUMIF('UFCA - JN'!$I$125:$I$145,K14,'UFCA - JN'!$L$125:$L$145)</f>
        <v>0</v>
      </c>
      <c r="P14" s="792" t="s">
        <v>1373</v>
      </c>
      <c r="Q14" s="789"/>
      <c r="R14" s="64" t="s">
        <v>175</v>
      </c>
      <c r="S14" s="48">
        <f>SUMIF('UFCA - JN'!$I$791:$I$792,R14,'UFCA - JN'!$L$791:$L$792)</f>
        <v>0</v>
      </c>
      <c r="T14" s="48">
        <f>SUMIF('UFCA - JN'!$I$146:$I$183,R14,'UFCA - JN'!$L$146:$L$183)</f>
        <v>0</v>
      </c>
      <c r="U14" s="48">
        <f>SUMIF('UFCA - JN'!$I$184:$I$207,R14,'UFCA - JN'!$L$184:$L$207)</f>
        <v>0</v>
      </c>
      <c r="W14" s="792" t="s">
        <v>1373</v>
      </c>
      <c r="X14" s="789"/>
      <c r="Y14" s="64" t="s">
        <v>175</v>
      </c>
      <c r="Z14" s="48">
        <f>SUMIF('UFCA - JN'!$I$793:$I$794,Y14,'UFCA - JN'!$L$793:$L$794)</f>
        <v>0</v>
      </c>
      <c r="AA14" s="48">
        <f>SUMIF('UFCA - JN'!$I$208:$I$244,Y14,'UFCA - JN'!$L$208:$L$244)</f>
        <v>0</v>
      </c>
      <c r="AC14" s="792" t="s">
        <v>1373</v>
      </c>
      <c r="AD14" s="789"/>
      <c r="AE14" s="64" t="s">
        <v>175</v>
      </c>
      <c r="AF14" s="48">
        <f>SUMIF('UFCA - JN'!$I$245:$I$268,AE14,'UFCA - JN'!$L$245:$L$268)</f>
        <v>0</v>
      </c>
      <c r="AH14" s="792" t="s">
        <v>1373</v>
      </c>
      <c r="AI14" s="789"/>
      <c r="AJ14" s="64" t="s">
        <v>175</v>
      </c>
      <c r="AK14" s="48">
        <f>SUMIF('UFCA - JN'!$I$795:$I$796,AJ14,'UFCA - JN'!$L$795:$L$796)</f>
        <v>0</v>
      </c>
      <c r="AL14" s="48">
        <f>SUMIF('UFCA - JN'!$I$269:$I$338,AJ14,'UFCA - JN'!$L$269:$L$338)</f>
        <v>0</v>
      </c>
      <c r="AN14" s="792" t="s">
        <v>1373</v>
      </c>
      <c r="AO14" s="789"/>
      <c r="AP14" s="64" t="s">
        <v>175</v>
      </c>
      <c r="AQ14" s="48">
        <f>SUMIF('UFCA - JN'!$I$797:$I$798,AP14,'UFCA - JN'!$L$797:$L$798)</f>
        <v>0</v>
      </c>
      <c r="AR14" s="48">
        <f>SUMIF('UFCA - JN'!$I$339:$I$347,AP14,'UFCA - JN'!$L$339:$L$347)</f>
        <v>0</v>
      </c>
      <c r="AS14" s="48">
        <f>SUMIF('UFCA - JN'!$I$348:$I$423,AP14,'UFCA - JN'!$L$348:$L$423)</f>
        <v>0</v>
      </c>
      <c r="AT14" s="48">
        <f>SUMIF('UFCA - JN'!$I$424:$I$448,AP14,'UFCA - JN'!$L$424:$L$448)</f>
        <v>0</v>
      </c>
      <c r="AV14" s="792" t="s">
        <v>1373</v>
      </c>
      <c r="AW14" s="12"/>
      <c r="AX14" s="64" t="s">
        <v>175</v>
      </c>
      <c r="AY14" s="48">
        <v>0</v>
      </c>
      <c r="BA14" s="792" t="s">
        <v>1373</v>
      </c>
      <c r="BB14" s="789"/>
      <c r="BC14" s="64" t="s">
        <v>175</v>
      </c>
      <c r="BD14" s="48">
        <f>SUMIF('UFCA - JN'!$I$799:$I$800,BC14,'UFCA - JN'!$L$799:$L$800)</f>
        <v>0</v>
      </c>
      <c r="BE14" s="48">
        <f>SUMIF('UFCA - JN'!$I$449:$I$549,BC14,'UFCA - JN'!$L$449:$L$549)</f>
        <v>0</v>
      </c>
      <c r="BF14" s="48">
        <f>SUMIF('UFCA - JN'!$I$550:$I$577,BC14,'UFCA - JN'!$L$550:$L$577)</f>
        <v>0</v>
      </c>
      <c r="BH14" s="792" t="s">
        <v>1373</v>
      </c>
      <c r="BI14" s="789"/>
      <c r="BJ14" s="64" t="s">
        <v>175</v>
      </c>
      <c r="BK14" s="48">
        <f>SUMIF('UFCA - JN'!$I$761:$I$769,BJ14,'UFCA - JN'!$L$761:$L$769)</f>
        <v>0</v>
      </c>
      <c r="BL14" s="48">
        <f>SUMIF('UFCA - JN'!$I$770:$I$778,BJ14,'UFCA - JN'!$L$770:$L$778)</f>
        <v>0</v>
      </c>
      <c r="BN14" s="792" t="s">
        <v>1373</v>
      </c>
      <c r="BO14" s="789"/>
      <c r="BP14" s="64" t="s">
        <v>175</v>
      </c>
      <c r="BQ14" s="48">
        <f>SUMIF('UFCA - JN'!$I$578:$I$760,BP14,'UFCA - JN'!$L$578:$L$760)</f>
        <v>0</v>
      </c>
      <c r="BS14" s="792" t="s">
        <v>1373</v>
      </c>
      <c r="BT14" s="789"/>
      <c r="BU14" s="64" t="s">
        <v>175</v>
      </c>
      <c r="BV14" s="48">
        <v>0</v>
      </c>
    </row>
    <row r="15" spans="1:76">
      <c r="A15" s="791"/>
      <c r="B15" s="789"/>
      <c r="C15" s="64" t="s">
        <v>109</v>
      </c>
      <c r="D15" s="196">
        <f ca="1">SUMIF('UFCA - JN'!$I$779:$L$786,C15,'UFCA - JN'!$L$779:$L$786)</f>
        <v>0</v>
      </c>
      <c r="E15" s="48">
        <f ca="1">SUMIF('UFCA - JN'!$I$787:$L$788,C15,'UFCA - JN'!$L$787:$L$788)</f>
        <v>0</v>
      </c>
      <c r="F15" s="48">
        <f>SUMIF('UFCA - JN'!$I$4:$I$58,C15,'UFCA - JN'!$L$4:$L$58)</f>
        <v>0</v>
      </c>
      <c r="G15" s="48">
        <f>SUMIF('UFCA - JN'!$I$66:$I$78,C15,'UFCA - JN'!$L$66:$L$78)</f>
        <v>0</v>
      </c>
      <c r="I15" s="793"/>
      <c r="J15" s="789"/>
      <c r="K15" s="64" t="s">
        <v>109</v>
      </c>
      <c r="L15" s="48">
        <f ca="1">SUMIF('UFCA - JN'!$I$789:$L$790,K15,'UFCA - JN'!$L$789:$L$790)</f>
        <v>0</v>
      </c>
      <c r="M15" s="48">
        <f>SUMIF('UFCA - JN'!$I$79:$I$124,K15,'UFCA - JN'!$L$79:$L$124)</f>
        <v>0</v>
      </c>
      <c r="N15" s="48">
        <f>SUMIF('UFCA - JN'!$I$125:$I$145,K15,'UFCA - JN'!$L$125:$L$145)</f>
        <v>0</v>
      </c>
      <c r="P15" s="793"/>
      <c r="Q15" s="789"/>
      <c r="R15" s="64" t="s">
        <v>109</v>
      </c>
      <c r="S15" s="48">
        <f>SUMIF('UFCA - JN'!$I$791:$I$792,R15,'UFCA - JN'!$L$791:$L$792)</f>
        <v>0</v>
      </c>
      <c r="T15" s="48">
        <f>SUMIF('UFCA - JN'!$I$146:$I$183,R15,'UFCA - JN'!$L$146:$L$183)</f>
        <v>0</v>
      </c>
      <c r="U15" s="48">
        <f>SUMIF('UFCA - JN'!$I$184:$I$207,R15,'UFCA - JN'!$L$184:$L$207)</f>
        <v>0</v>
      </c>
      <c r="W15" s="793"/>
      <c r="X15" s="789"/>
      <c r="Y15" s="64" t="s">
        <v>109</v>
      </c>
      <c r="Z15" s="48">
        <f>SUMIF('UFCA - JN'!$I$793:$I$794,Y15,'UFCA - JN'!$L$793:$L$794)</f>
        <v>0</v>
      </c>
      <c r="AA15" s="48">
        <f>SUMIF('UFCA - JN'!$I$208:$I$244,Y15,'UFCA - JN'!$L$208:$L$244)</f>
        <v>0</v>
      </c>
      <c r="AC15" s="793"/>
      <c r="AD15" s="789"/>
      <c r="AE15" s="64" t="s">
        <v>109</v>
      </c>
      <c r="AF15" s="48">
        <f>SUMIF('UFCA - JN'!$I$245:$I$268,AE15,'UFCA - JN'!$L$245:$L$268)</f>
        <v>0</v>
      </c>
      <c r="AH15" s="793"/>
      <c r="AI15" s="789"/>
      <c r="AJ15" s="64" t="s">
        <v>109</v>
      </c>
      <c r="AK15" s="48">
        <f>SUMIF('UFCA - JN'!$I$795:$I$796,AJ15,'UFCA - JN'!$L$795:$L$796)</f>
        <v>0</v>
      </c>
      <c r="AL15" s="48">
        <f>SUMIF('UFCA - JN'!$I$269:$I$338,AJ15,'UFCA - JN'!$L$269:$L$338)</f>
        <v>397.96000000000004</v>
      </c>
      <c r="AN15" s="793"/>
      <c r="AO15" s="789"/>
      <c r="AP15" s="64" t="s">
        <v>109</v>
      </c>
      <c r="AQ15" s="48">
        <f>SUMIF('UFCA - JN'!$I$797:$I$798,AP15,'UFCA - JN'!$L$797:$L$798)</f>
        <v>0</v>
      </c>
      <c r="AR15" s="48">
        <f>SUMIF('UFCA - JN'!$I$339:$I$347,AP15,'UFCA - JN'!$L$339:$L$347)</f>
        <v>0</v>
      </c>
      <c r="AS15" s="48">
        <f>SUMIF('UFCA - JN'!$I$348:$I$423,AP15,'UFCA - JN'!$L$348:$L$423)</f>
        <v>0</v>
      </c>
      <c r="AT15" s="48">
        <f>SUMIF('UFCA - JN'!$I$424:$I$448,AP15,'UFCA - JN'!$L$424:$L$448)</f>
        <v>0</v>
      </c>
      <c r="AV15" s="793"/>
      <c r="AW15" s="12"/>
      <c r="AX15" s="64" t="s">
        <v>109</v>
      </c>
      <c r="AY15" s="48">
        <v>0</v>
      </c>
      <c r="BA15" s="793"/>
      <c r="BB15" s="789"/>
      <c r="BC15" s="64" t="s">
        <v>109</v>
      </c>
      <c r="BD15" s="48">
        <f>SUMIF('UFCA - JN'!$I$799:$I$800,BC15,'UFCA - JN'!$L$799:$L$800)</f>
        <v>0</v>
      </c>
      <c r="BE15" s="48">
        <f>SUMIF('UFCA - JN'!$I$449:$I$549,BC15,'UFCA - JN'!$L$449:$L$549)</f>
        <v>0</v>
      </c>
      <c r="BF15" s="48">
        <f>SUMIF('UFCA - JN'!$I$550:$I$577,BC15,'UFCA - JN'!$L$550:$L$577)</f>
        <v>0</v>
      </c>
      <c r="BH15" s="793"/>
      <c r="BI15" s="789"/>
      <c r="BJ15" s="64" t="s">
        <v>109</v>
      </c>
      <c r="BK15" s="48">
        <f>SUMIF('UFCA - JN'!$I$761:$I$769,BJ15,'UFCA - JN'!$L$761:$L$769)</f>
        <v>0</v>
      </c>
      <c r="BL15" s="48">
        <f>SUMIF('UFCA - JN'!$I$770:$I$778,BJ15,'UFCA - JN'!$L$770:$L$778)</f>
        <v>0</v>
      </c>
      <c r="BN15" s="793"/>
      <c r="BO15" s="789"/>
      <c r="BP15" s="64" t="s">
        <v>109</v>
      </c>
      <c r="BQ15" s="48">
        <f>SUMIF('UFCA - JN'!$I$578:$I$760,BP15,'UFCA - JN'!$L$578:$L$760)</f>
        <v>0</v>
      </c>
      <c r="BS15" s="793"/>
      <c r="BT15" s="789"/>
      <c r="BU15" s="64" t="s">
        <v>109</v>
      </c>
      <c r="BV15" s="48">
        <v>0</v>
      </c>
    </row>
    <row r="16" spans="1:76" ht="14.25" customHeight="1">
      <c r="A16" s="791"/>
      <c r="B16" s="789"/>
      <c r="C16" s="64" t="s">
        <v>1313</v>
      </c>
      <c r="D16" s="196">
        <f ca="1">SUMIF('UFCA - JN'!$I$779:$L$786,C16,'UFCA - JN'!$L$779:$L$786)</f>
        <v>0</v>
      </c>
      <c r="E16" s="48">
        <f ca="1">SUMIF('UFCA - JN'!$I$787:$L$788,C16,'UFCA - JN'!$L$787:$L$788)</f>
        <v>0</v>
      </c>
      <c r="F16" s="48">
        <f>SUMIF('UFCA - JN'!$I$4:$I$58,C16,'UFCA - JN'!$L$4:$L$58)</f>
        <v>0</v>
      </c>
      <c r="G16" s="48">
        <f>SUMIF('UFCA - JN'!$I$66:$I$78,C16,'UFCA - JN'!$L$66:$L$78)</f>
        <v>0</v>
      </c>
      <c r="I16" s="793"/>
      <c r="J16" s="789"/>
      <c r="K16" s="64" t="s">
        <v>1313</v>
      </c>
      <c r="L16" s="48">
        <f ca="1">SUMIF('UFCA - JN'!$I$789:$L$790,K16,'UFCA - JN'!$L$789:$L$790)</f>
        <v>0</v>
      </c>
      <c r="M16" s="48">
        <f>SUMIF('UFCA - JN'!$I$79:$I$124,K16,'UFCA - JN'!$L$79:$L$124)</f>
        <v>0</v>
      </c>
      <c r="N16" s="48">
        <f>SUMIF('UFCA - JN'!$I$125:$I$145,K16,'UFCA - JN'!$L$125:$L$145)</f>
        <v>0</v>
      </c>
      <c r="P16" s="793"/>
      <c r="Q16" s="789"/>
      <c r="R16" s="64" t="s">
        <v>1313</v>
      </c>
      <c r="S16" s="48">
        <f>SUMIF('UFCA - JN'!$I$791:$I$792,R16,'UFCA - JN'!$L$791:$L$792)</f>
        <v>0</v>
      </c>
      <c r="T16" s="48">
        <f>SUMIF('UFCA - JN'!$I$146:$I$183,R16,'UFCA - JN'!$L$146:$L$183)</f>
        <v>0</v>
      </c>
      <c r="U16" s="48">
        <f>SUMIF('UFCA - JN'!$I$184:$I$207,R16,'UFCA - JN'!$L$184:$L$207)</f>
        <v>0</v>
      </c>
      <c r="W16" s="793"/>
      <c r="X16" s="789"/>
      <c r="Y16" s="64" t="s">
        <v>1313</v>
      </c>
      <c r="Z16" s="48">
        <f>SUMIF('UFCA - JN'!$I$793:$I$794,Y16,'UFCA - JN'!$L$793:$L$794)</f>
        <v>0</v>
      </c>
      <c r="AA16" s="48">
        <f>SUMIF('UFCA - JN'!$I$208:$I$244,Y16,'UFCA - JN'!$L$208:$L$244)</f>
        <v>0</v>
      </c>
      <c r="AC16" s="793"/>
      <c r="AD16" s="789"/>
      <c r="AE16" s="64" t="s">
        <v>1313</v>
      </c>
      <c r="AF16" s="48">
        <f>SUMIF('UFCA - JN'!$I$245:$I$268,AE16,'UFCA - JN'!$L$245:$L$268)</f>
        <v>0</v>
      </c>
      <c r="AH16" s="793"/>
      <c r="AI16" s="789"/>
      <c r="AJ16" s="64" t="s">
        <v>1313</v>
      </c>
      <c r="AK16" s="48">
        <f>SUMIF('UFCA - JN'!$I$795:$I$796,AJ16,'UFCA - JN'!$L$795:$L$796)</f>
        <v>0</v>
      </c>
      <c r="AL16" s="48">
        <f>SUMIF('UFCA - JN'!$I$269:$I$338,AJ16,'UFCA - JN'!$L$269:$L$338)</f>
        <v>238.6</v>
      </c>
      <c r="AN16" s="793"/>
      <c r="AO16" s="789"/>
      <c r="AP16" s="64" t="s">
        <v>1313</v>
      </c>
      <c r="AQ16" s="48">
        <f>SUMIF('UFCA - JN'!$I$797:$I$798,AP16,'UFCA - JN'!$L$797:$L$798)</f>
        <v>0</v>
      </c>
      <c r="AR16" s="48">
        <f>SUMIF('UFCA - JN'!$I$339:$I$347,AP16,'UFCA - JN'!$L$339:$L$347)</f>
        <v>0</v>
      </c>
      <c r="AS16" s="48">
        <f>SUMIF('UFCA - JN'!$I$348:$I$423,AP16,'UFCA - JN'!$L$348:$L$423)</f>
        <v>0</v>
      </c>
      <c r="AT16" s="48">
        <f>SUMIF('UFCA - JN'!$I$424:$I$448,AP16,'UFCA - JN'!$L$424:$L$448)</f>
        <v>0</v>
      </c>
      <c r="AV16" s="793"/>
      <c r="AW16" s="12"/>
      <c r="AX16" s="64" t="s">
        <v>1313</v>
      </c>
      <c r="AY16" s="48">
        <v>0</v>
      </c>
      <c r="BA16" s="793"/>
      <c r="BB16" s="789"/>
      <c r="BC16" s="64" t="s">
        <v>1313</v>
      </c>
      <c r="BD16" s="48">
        <f>SUMIF('UFCA - JN'!$I$799:$I$800,BC16,'UFCA - JN'!$L$799:$L$800)</f>
        <v>0</v>
      </c>
      <c r="BE16" s="48">
        <f>SUMIF('UFCA - JN'!$I$449:$I$549,BC16,'UFCA - JN'!$L$449:$L$549)</f>
        <v>0</v>
      </c>
      <c r="BF16" s="48">
        <f>SUMIF('UFCA - JN'!$I$550:$I$577,BC16,'UFCA - JN'!$L$550:$L$577)</f>
        <v>0</v>
      </c>
      <c r="BH16" s="793"/>
      <c r="BI16" s="789"/>
      <c r="BJ16" s="64" t="s">
        <v>1313</v>
      </c>
      <c r="BK16" s="48">
        <f>SUMIF('UFCA - JN'!$I$761:$I$769,BJ16,'UFCA - JN'!$L$761:$L$769)</f>
        <v>0</v>
      </c>
      <c r="BL16" s="48">
        <f>SUMIF('UFCA - JN'!$I$770:$I$778,BJ16,'UFCA - JN'!$L$770:$L$778)</f>
        <v>0</v>
      </c>
      <c r="BN16" s="793"/>
      <c r="BO16" s="789"/>
      <c r="BP16" s="64" t="s">
        <v>1313</v>
      </c>
      <c r="BQ16" s="48">
        <f>SUMIF('UFCA - JN'!$I$578:$I$760,BP16,'UFCA - JN'!$L$578:$L$760)</f>
        <v>107.9</v>
      </c>
      <c r="BS16" s="793"/>
      <c r="BT16" s="789"/>
      <c r="BU16" s="64" t="s">
        <v>1313</v>
      </c>
      <c r="BV16" s="48">
        <v>0</v>
      </c>
    </row>
    <row r="17" spans="1:74">
      <c r="A17" s="791"/>
      <c r="B17" s="789"/>
      <c r="C17" s="64" t="s">
        <v>110</v>
      </c>
      <c r="D17" s="196">
        <f ca="1">SUMIF('UFCA - JN'!$I$779:$L$786,C17,'UFCA - JN'!$L$779:$L$786)</f>
        <v>0</v>
      </c>
      <c r="E17" s="48">
        <f ca="1">SUMIF('UFCA - JN'!$I$787:$L$788,C17,'UFCA - JN'!$L$787:$L$788)</f>
        <v>0</v>
      </c>
      <c r="F17" s="48">
        <f>SUMIF('UFCA - JN'!$I$4:$I$58,C17,'UFCA - JN'!$L$4:$L$58)</f>
        <v>0</v>
      </c>
      <c r="G17" s="48">
        <f>SUMIF('UFCA - JN'!$I$66:$I$78,C17,'UFCA - JN'!$L$66:$L$78)</f>
        <v>0</v>
      </c>
      <c r="I17" s="793"/>
      <c r="J17" s="789"/>
      <c r="K17" s="64" t="s">
        <v>110</v>
      </c>
      <c r="L17" s="48">
        <f ca="1">SUMIF('UFCA - JN'!$I$789:$L$790,K17,'UFCA - JN'!$L$789:$L$790)</f>
        <v>0</v>
      </c>
      <c r="M17" s="48">
        <f>SUMIF('UFCA - JN'!$I$79:$I$124,K17,'UFCA - JN'!$L$79:$L$124)</f>
        <v>0</v>
      </c>
      <c r="N17" s="48">
        <f>SUMIF('UFCA - JN'!$I$125:$I$145,K17,'UFCA - JN'!$L$125:$L$145)</f>
        <v>0</v>
      </c>
      <c r="P17" s="793"/>
      <c r="Q17" s="789"/>
      <c r="R17" s="64" t="s">
        <v>110</v>
      </c>
      <c r="S17" s="48">
        <f>SUMIF('UFCA - JN'!$I$791:$I$792,R17,'UFCA - JN'!$L$791:$L$792)</f>
        <v>0</v>
      </c>
      <c r="T17" s="48">
        <f>SUMIF('UFCA - JN'!$I$146:$I$183,R17,'UFCA - JN'!$L$146:$L$183)</f>
        <v>117.3</v>
      </c>
      <c r="U17" s="48">
        <f>SUMIF('UFCA - JN'!$I$184:$I$207,R17,'UFCA - JN'!$L$184:$L$207)</f>
        <v>0</v>
      </c>
      <c r="W17" s="793"/>
      <c r="X17" s="789"/>
      <c r="Y17" s="64" t="s">
        <v>110</v>
      </c>
      <c r="Z17" s="48">
        <f>SUMIF('UFCA - JN'!$I$793:$I$794,Y17,'UFCA - JN'!$L$793:$L$794)</f>
        <v>0</v>
      </c>
      <c r="AA17" s="48">
        <f>SUMIF('UFCA - JN'!$I$208:$I$244,Y17,'UFCA - JN'!$L$208:$L$244)</f>
        <v>0</v>
      </c>
      <c r="AC17" s="793"/>
      <c r="AD17" s="789"/>
      <c r="AE17" s="64" t="s">
        <v>110</v>
      </c>
      <c r="AF17" s="48">
        <f>SUMIF('UFCA - JN'!$I$245:$I$268,AE17,'UFCA - JN'!$L$245:$L$268)</f>
        <v>395.7</v>
      </c>
      <c r="AH17" s="793"/>
      <c r="AI17" s="789"/>
      <c r="AJ17" s="64" t="s">
        <v>110</v>
      </c>
      <c r="AK17" s="48">
        <f>SUMIF('UFCA - JN'!$I$795:$I$796,AJ17,'UFCA - JN'!$L$795:$L$796)</f>
        <v>0</v>
      </c>
      <c r="AL17" s="48">
        <f>SUMIF('UFCA - JN'!$I$269:$I$338,AJ17,'UFCA - JN'!$L$269:$L$338)</f>
        <v>0</v>
      </c>
      <c r="AN17" s="793"/>
      <c r="AO17" s="789"/>
      <c r="AP17" s="64" t="s">
        <v>110</v>
      </c>
      <c r="AQ17" s="48">
        <f>SUMIF('UFCA - JN'!$I$797:$I$798,AP17,'UFCA - JN'!$L$797:$L$798)</f>
        <v>0</v>
      </c>
      <c r="AR17" s="48">
        <f>SUMIF('UFCA - JN'!$I$339:$I$347,AP17,'UFCA - JN'!$L$339:$L$347)</f>
        <v>0</v>
      </c>
      <c r="AS17" s="48">
        <f>SUMIF('UFCA - JN'!$I$348:$I$423,AP17,'UFCA - JN'!$L$348:$L$423)</f>
        <v>0</v>
      </c>
      <c r="AT17" s="48">
        <f>SUMIF('UFCA - JN'!$I$424:$I$448,AP17,'UFCA - JN'!$L$424:$L$448)</f>
        <v>0</v>
      </c>
      <c r="AV17" s="793"/>
      <c r="AW17" s="12"/>
      <c r="AX17" s="64" t="s">
        <v>110</v>
      </c>
      <c r="AY17" s="48">
        <v>0</v>
      </c>
      <c r="BA17" s="793"/>
      <c r="BB17" s="789"/>
      <c r="BC17" s="64" t="s">
        <v>110</v>
      </c>
      <c r="BD17" s="48">
        <f>SUMIF('UFCA - JN'!$I$799:$I$800,BC17,'UFCA - JN'!$L$799:$L$800)</f>
        <v>0</v>
      </c>
      <c r="BE17" s="48">
        <f>SUMIF('UFCA - JN'!$I$449:$I$549,BC17,'UFCA - JN'!$L$449:$L$549)</f>
        <v>0</v>
      </c>
      <c r="BF17" s="48">
        <f>SUMIF('UFCA - JN'!$I$550:$I$577,BC17,'UFCA - JN'!$L$550:$L$577)</f>
        <v>0</v>
      </c>
      <c r="BH17" s="793"/>
      <c r="BI17" s="789"/>
      <c r="BJ17" s="64" t="s">
        <v>110</v>
      </c>
      <c r="BK17" s="48">
        <f>SUMIF('UFCA - JN'!$I$761:$I$769,BJ17,'UFCA - JN'!$L$761:$L$769)</f>
        <v>0</v>
      </c>
      <c r="BL17" s="48">
        <f>SUMIF('UFCA - JN'!$I$770:$I$778,BJ17,'UFCA - JN'!$L$770:$L$778)</f>
        <v>0</v>
      </c>
      <c r="BN17" s="793"/>
      <c r="BO17" s="789"/>
      <c r="BP17" s="64" t="s">
        <v>110</v>
      </c>
      <c r="BQ17" s="48">
        <f>SUMIF('UFCA - JN'!$I$578:$I$760,BP17,'UFCA - JN'!$L$578:$L$760)</f>
        <v>0</v>
      </c>
      <c r="BS17" s="793"/>
      <c r="BT17" s="789"/>
      <c r="BU17" s="64" t="s">
        <v>110</v>
      </c>
      <c r="BV17" s="48">
        <v>0</v>
      </c>
    </row>
    <row r="18" spans="1:74">
      <c r="A18" s="791"/>
      <c r="B18" s="789"/>
      <c r="C18" s="64" t="s">
        <v>211</v>
      </c>
      <c r="D18" s="196">
        <f ca="1">SUMIF('UFCA - JN'!$I$779:$L$786,C18,'UFCA - JN'!$L$779:$L$786)</f>
        <v>0</v>
      </c>
      <c r="E18" s="48">
        <f ca="1">SUMIF('UFCA - JN'!$I$787:$L$788,C18,'UFCA - JN'!$L$787:$L$788)</f>
        <v>0</v>
      </c>
      <c r="F18" s="48">
        <f>SUMIF('UFCA - JN'!$I$4:$I$58,C18,'UFCA - JN'!$L$4:$L$58)</f>
        <v>0</v>
      </c>
      <c r="G18" s="48">
        <f>SUMIF('UFCA - JN'!$I$66:$I$78,C18,'UFCA - JN'!$L$66:$L$78)</f>
        <v>0</v>
      </c>
      <c r="I18" s="793"/>
      <c r="J18" s="789"/>
      <c r="K18" s="64" t="s">
        <v>211</v>
      </c>
      <c r="L18" s="48">
        <f ca="1">SUMIF('UFCA - JN'!$I$789:$L$790,K18,'UFCA - JN'!$L$789:$L$790)</f>
        <v>0</v>
      </c>
      <c r="M18" s="48">
        <f>SUMIF('UFCA - JN'!$I$79:$I$124,K18,'UFCA - JN'!$L$79:$L$124)</f>
        <v>0</v>
      </c>
      <c r="N18" s="48">
        <f>SUMIF('UFCA - JN'!$I$125:$I$145,K18,'UFCA - JN'!$L$125:$L$145)</f>
        <v>0</v>
      </c>
      <c r="P18" s="793"/>
      <c r="Q18" s="789"/>
      <c r="R18" s="64" t="s">
        <v>211</v>
      </c>
      <c r="S18" s="48">
        <f>SUMIF('UFCA - JN'!$I$791:$I$792,R18,'UFCA - JN'!$L$791:$L$792)</f>
        <v>0</v>
      </c>
      <c r="T18" s="48">
        <f>SUMIF('UFCA - JN'!$I$146:$I$183,R18,'UFCA - JN'!$L$146:$L$183)</f>
        <v>0</v>
      </c>
      <c r="U18" s="48">
        <f>SUMIF('UFCA - JN'!$I$184:$I$207,R18,'UFCA - JN'!$L$184:$L$207)</f>
        <v>0</v>
      </c>
      <c r="W18" s="793"/>
      <c r="X18" s="789"/>
      <c r="Y18" s="64" t="s">
        <v>211</v>
      </c>
      <c r="Z18" s="48">
        <f>SUMIF('UFCA - JN'!$I$793:$I$794,Y18,'UFCA - JN'!$L$793:$L$794)</f>
        <v>0</v>
      </c>
      <c r="AA18" s="48">
        <f>SUMIF('UFCA - JN'!$I$208:$I$244,Y18,'UFCA - JN'!$L$208:$L$244)</f>
        <v>0</v>
      </c>
      <c r="AC18" s="793"/>
      <c r="AD18" s="789"/>
      <c r="AE18" s="64" t="s">
        <v>211</v>
      </c>
      <c r="AF18" s="48">
        <f>SUMIF('UFCA - JN'!$I$245:$I$268,AE18,'UFCA - JN'!$L$245:$L$268)</f>
        <v>0</v>
      </c>
      <c r="AH18" s="793"/>
      <c r="AI18" s="789"/>
      <c r="AJ18" s="64" t="s">
        <v>211</v>
      </c>
      <c r="AK18" s="48">
        <f>SUMIF('UFCA - JN'!$I$795:$I$796,AJ18,'UFCA - JN'!$L$795:$L$796)</f>
        <v>0</v>
      </c>
      <c r="AL18" s="48">
        <f>SUMIF('UFCA - JN'!$I$269:$I$338,AJ18,'UFCA - JN'!$L$269:$L$338)</f>
        <v>0</v>
      </c>
      <c r="AN18" s="793"/>
      <c r="AO18" s="789"/>
      <c r="AP18" s="64" t="s">
        <v>211</v>
      </c>
      <c r="AQ18" s="48">
        <f>SUMIF('UFCA - JN'!$I$797:$I$798,AP18,'UFCA - JN'!$L$797:$L$798)</f>
        <v>0</v>
      </c>
      <c r="AR18" s="48">
        <f>SUMIF('UFCA - JN'!$I$339:$I$347,AP18,'UFCA - JN'!$L$339:$L$347)</f>
        <v>555.5</v>
      </c>
      <c r="AS18" s="48">
        <f>SUMIF('UFCA - JN'!$I$348:$I$423,AP18,'UFCA - JN'!$L$348:$L$423)</f>
        <v>0</v>
      </c>
      <c r="AT18" s="48">
        <f>SUMIF('UFCA - JN'!$I$424:$I$448,AP18,'UFCA - JN'!$L$424:$L$448)</f>
        <v>0</v>
      </c>
      <c r="AV18" s="793"/>
      <c r="AW18" s="12"/>
      <c r="AX18" s="64" t="s">
        <v>211</v>
      </c>
      <c r="AY18" s="48">
        <v>0</v>
      </c>
      <c r="BA18" s="793"/>
      <c r="BB18" s="789"/>
      <c r="BC18" s="64" t="s">
        <v>211</v>
      </c>
      <c r="BD18" s="48">
        <f>SUMIF('UFCA - JN'!$I$799:$I$800,BC18,'UFCA - JN'!$L$799:$L$800)</f>
        <v>0</v>
      </c>
      <c r="BE18" s="48">
        <f>SUMIF('UFCA - JN'!$I$449:$I$549,BC18,'UFCA - JN'!$L$449:$L$549)</f>
        <v>0</v>
      </c>
      <c r="BF18" s="48">
        <f>SUMIF('UFCA - JN'!$I$550:$I$577,BC18,'UFCA - JN'!$L$550:$L$577)</f>
        <v>0</v>
      </c>
      <c r="BH18" s="793"/>
      <c r="BI18" s="789"/>
      <c r="BJ18" s="64" t="s">
        <v>211</v>
      </c>
      <c r="BK18" s="48">
        <f>SUMIF('UFCA - JN'!$I$761:$I$769,BJ18,'UFCA - JN'!$L$761:$L$769)</f>
        <v>0</v>
      </c>
      <c r="BL18" s="48">
        <f>SUMIF('UFCA - JN'!$I$770:$I$778,BJ18,'UFCA - JN'!$L$770:$L$778)</f>
        <v>0</v>
      </c>
      <c r="BN18" s="793"/>
      <c r="BO18" s="789"/>
      <c r="BP18" s="64" t="s">
        <v>211</v>
      </c>
      <c r="BQ18" s="48">
        <f>SUMIF('UFCA - JN'!$I$578:$I$760,BP18,'UFCA - JN'!$L$578:$L$760)</f>
        <v>0</v>
      </c>
      <c r="BS18" s="793"/>
      <c r="BT18" s="789"/>
      <c r="BU18" s="64" t="s">
        <v>211</v>
      </c>
      <c r="BV18" s="48">
        <v>0</v>
      </c>
    </row>
    <row r="19" spans="1:74">
      <c r="A19" s="791"/>
      <c r="B19" s="789"/>
      <c r="C19" s="64" t="s">
        <v>1371</v>
      </c>
      <c r="D19" s="196">
        <f ca="1">SUMIF('UFCA - JN'!$I$779:$L$786,C19,'UFCA - JN'!$L$779:$L$786)</f>
        <v>0</v>
      </c>
      <c r="E19" s="48">
        <f ca="1">SUMIF('UFCA - JN'!$I$787:$L$788,C19,'UFCA - JN'!$L$787:$L$788)</f>
        <v>0</v>
      </c>
      <c r="F19" s="48">
        <f>SUMIF('UFCA - JN'!$I$4:$I$58,C19,'UFCA - JN'!$L$4:$L$58)</f>
        <v>12.87</v>
      </c>
      <c r="G19" s="48">
        <f>SUMIF('UFCA - JN'!$I$66:$I$78,C19,'UFCA - JN'!$L$66:$L$78)</f>
        <v>0</v>
      </c>
      <c r="I19" s="793"/>
      <c r="J19" s="789"/>
      <c r="K19" s="64" t="s">
        <v>1371</v>
      </c>
      <c r="L19" s="48">
        <f ca="1">SUMIF('UFCA - JN'!$I$789:$L$790,K19,'UFCA - JN'!$L$789:$L$790)</f>
        <v>0</v>
      </c>
      <c r="M19" s="48">
        <f>SUMIF('UFCA - JN'!$I$79:$I$124,K19,'UFCA - JN'!$L$79:$L$124)</f>
        <v>10.46</v>
      </c>
      <c r="N19" s="48">
        <f>SUMIF('UFCA - JN'!$I$125:$I$145,K19,'UFCA - JN'!$L$125:$L$145)</f>
        <v>0</v>
      </c>
      <c r="P19" s="793"/>
      <c r="Q19" s="789"/>
      <c r="R19" s="64" t="s">
        <v>1371</v>
      </c>
      <c r="S19" s="48">
        <f>SUMIF('UFCA - JN'!$I$791:$I$792,R19,'UFCA - JN'!$L$791:$L$792)</f>
        <v>0</v>
      </c>
      <c r="T19" s="48">
        <f>SUMIF('UFCA - JN'!$I$146:$I$183,R19,'UFCA - JN'!$L$146:$L$183)</f>
        <v>20.83</v>
      </c>
      <c r="U19" s="48">
        <f>SUMIF('UFCA - JN'!$I$184:$I$207,R19,'UFCA - JN'!$L$184:$L$207)</f>
        <v>0</v>
      </c>
      <c r="W19" s="793"/>
      <c r="X19" s="789"/>
      <c r="Y19" s="64" t="s">
        <v>1371</v>
      </c>
      <c r="Z19" s="48">
        <f>SUMIF('UFCA - JN'!$I$793:$I$794,Y19,'UFCA - JN'!$L$793:$L$794)</f>
        <v>0</v>
      </c>
      <c r="AA19" s="48">
        <f>SUMIF('UFCA - JN'!$I$208:$I$244,Y19,'UFCA - JN'!$L$208:$L$244)</f>
        <v>10.11</v>
      </c>
      <c r="AC19" s="793"/>
      <c r="AD19" s="789"/>
      <c r="AE19" s="64" t="s">
        <v>1371</v>
      </c>
      <c r="AF19" s="48">
        <f>SUMIF('UFCA - JN'!$I$245:$I$268,AE19,'UFCA - JN'!$L$245:$L$268)</f>
        <v>13.97</v>
      </c>
      <c r="AH19" s="793"/>
      <c r="AI19" s="789"/>
      <c r="AJ19" s="64" t="s">
        <v>1371</v>
      </c>
      <c r="AK19" s="48">
        <f>SUMIF('UFCA - JN'!$I$795:$I$796,AJ19,'UFCA - JN'!$L$795:$L$796)</f>
        <v>0</v>
      </c>
      <c r="AL19" s="48">
        <f>SUMIF('UFCA - JN'!$I$269:$I$338,AJ19,'UFCA - JN'!$L$269:$L$338)</f>
        <v>59.260000000000005</v>
      </c>
      <c r="AN19" s="793"/>
      <c r="AO19" s="789"/>
      <c r="AP19" s="64" t="s">
        <v>1371</v>
      </c>
      <c r="AQ19" s="48">
        <f>SUMIF('UFCA - JN'!$I$797:$I$798,AP19,'UFCA - JN'!$L$797:$L$798)</f>
        <v>0</v>
      </c>
      <c r="AR19" s="48">
        <f>SUMIF('UFCA - JN'!$I$339:$I$347,AP19,'UFCA - JN'!$L$339:$L$347)</f>
        <v>0</v>
      </c>
      <c r="AS19" s="48">
        <f>SUMIF('UFCA - JN'!$I$348:$I$423,AP19,'UFCA - JN'!$L$348:$L$423)</f>
        <v>0</v>
      </c>
      <c r="AT19" s="48">
        <f>SUMIF('UFCA - JN'!$I$424:$I$448,AP19,'UFCA - JN'!$L$424:$L$448)</f>
        <v>0</v>
      </c>
      <c r="AV19" s="793"/>
      <c r="AW19" s="12"/>
      <c r="AX19" s="64" t="s">
        <v>1371</v>
      </c>
      <c r="AY19" s="48">
        <v>0</v>
      </c>
      <c r="BA19" s="793"/>
      <c r="BB19" s="789"/>
      <c r="BC19" s="64" t="s">
        <v>1371</v>
      </c>
      <c r="BD19" s="48">
        <f>SUMIF('UFCA - JN'!$I$799:$I$800,BC19,'UFCA - JN'!$L$799:$L$800)</f>
        <v>0</v>
      </c>
      <c r="BE19" s="48">
        <f>SUMIF('UFCA - JN'!$I$449:$I$549,BC19,'UFCA - JN'!$L$449:$L$549)</f>
        <v>364.6</v>
      </c>
      <c r="BF19" s="48">
        <f>SUMIF('UFCA - JN'!$I$550:$I$577,BC19,'UFCA - JN'!$L$550:$L$577)</f>
        <v>0</v>
      </c>
      <c r="BH19" s="793"/>
      <c r="BI19" s="789"/>
      <c r="BJ19" s="64" t="s">
        <v>1371</v>
      </c>
      <c r="BK19" s="48">
        <f>SUMIF('UFCA - JN'!$I$761:$I$769,BJ19,'UFCA - JN'!$L$761:$L$769)</f>
        <v>0</v>
      </c>
      <c r="BL19" s="48">
        <f>SUMIF('UFCA - JN'!$I$770:$I$778,BJ19,'UFCA - JN'!$L$770:$L$778)</f>
        <v>0</v>
      </c>
      <c r="BN19" s="793"/>
      <c r="BO19" s="789"/>
      <c r="BP19" s="64" t="s">
        <v>1371</v>
      </c>
      <c r="BQ19" s="48">
        <f>SUMIF('UFCA - JN'!$I$578:$I$760,BP19,'UFCA - JN'!$L$578:$L$760)</f>
        <v>1691.2399999999973</v>
      </c>
      <c r="BS19" s="793"/>
      <c r="BT19" s="789"/>
      <c r="BU19" s="64" t="s">
        <v>1371</v>
      </c>
      <c r="BV19" s="48">
        <v>0</v>
      </c>
    </row>
    <row r="20" spans="1:74">
      <c r="A20" s="791"/>
      <c r="B20" s="789"/>
      <c r="C20" s="64" t="s">
        <v>248</v>
      </c>
      <c r="D20" s="196">
        <f ca="1">SUMIF('UFCA - JN'!$I$779:$L$786,C20,'UFCA - JN'!$L$779:$L$786)</f>
        <v>0</v>
      </c>
      <c r="E20" s="48">
        <f ca="1">SUMIF('UFCA - JN'!$I$787:$L$788,C20,'UFCA - JN'!$L$787:$L$788)</f>
        <v>0</v>
      </c>
      <c r="F20" s="48">
        <f>SUMIF('UFCA - JN'!$I$4:$I$58,C20,'UFCA - JN'!$L$4:$L$58)</f>
        <v>265.66000000000003</v>
      </c>
      <c r="G20" s="48">
        <f>SUMIF('UFCA - JN'!$I$66:$I$78,C20,'UFCA - JN'!$L$66:$L$78)</f>
        <v>0</v>
      </c>
      <c r="I20" s="793"/>
      <c r="J20" s="789"/>
      <c r="K20" s="64" t="s">
        <v>248</v>
      </c>
      <c r="L20" s="48">
        <f ca="1">SUMIF('UFCA - JN'!$I$789:$L$790,K20,'UFCA - JN'!$L$789:$L$790)</f>
        <v>0</v>
      </c>
      <c r="M20" s="48">
        <f>SUMIF('UFCA - JN'!$I$79:$I$124,K20,'UFCA - JN'!$L$79:$L$124)</f>
        <v>66.599999999999994</v>
      </c>
      <c r="N20" s="48">
        <f>SUMIF('UFCA - JN'!$I$125:$I$145,K20,'UFCA - JN'!$L$125:$L$145)</f>
        <v>0</v>
      </c>
      <c r="P20" s="793"/>
      <c r="Q20" s="789"/>
      <c r="R20" s="64" t="s">
        <v>248</v>
      </c>
      <c r="S20" s="48">
        <f>SUMIF('UFCA - JN'!$I$791:$I$792,R20,'UFCA - JN'!$L$791:$L$792)</f>
        <v>0</v>
      </c>
      <c r="T20" s="48">
        <f>SUMIF('UFCA - JN'!$I$146:$I$183,R20,'UFCA - JN'!$L$146:$L$183)</f>
        <v>333.03999999999996</v>
      </c>
      <c r="U20" s="48">
        <f>SUMIF('UFCA - JN'!$I$184:$I$207,R20,'UFCA - JN'!$L$184:$L$207)</f>
        <v>0</v>
      </c>
      <c r="W20" s="793"/>
      <c r="X20" s="789"/>
      <c r="Y20" s="64" t="s">
        <v>248</v>
      </c>
      <c r="Z20" s="48">
        <f>SUMIF('UFCA - JN'!$I$793:$I$794,Y20,'UFCA - JN'!$L$793:$L$794)</f>
        <v>0</v>
      </c>
      <c r="AA20" s="48">
        <f>SUMIF('UFCA - JN'!$I$208:$I$244,Y20,'UFCA - JN'!$L$208:$L$244)</f>
        <v>0</v>
      </c>
      <c r="AC20" s="793"/>
      <c r="AD20" s="789"/>
      <c r="AE20" s="64" t="s">
        <v>248</v>
      </c>
      <c r="AF20" s="48">
        <f>SUMIF('UFCA - JN'!$I$245:$I$268,AE20,'UFCA - JN'!$L$245:$L$268)</f>
        <v>0</v>
      </c>
      <c r="AH20" s="793"/>
      <c r="AI20" s="789"/>
      <c r="AJ20" s="64" t="s">
        <v>248</v>
      </c>
      <c r="AK20" s="48">
        <f>SUMIF('UFCA - JN'!$I$795:$I$796,AJ20,'UFCA - JN'!$L$795:$L$796)</f>
        <v>0</v>
      </c>
      <c r="AL20" s="48">
        <f>SUMIF('UFCA - JN'!$I$269:$I$338,AJ20,'UFCA - JN'!$L$269:$L$338)</f>
        <v>383.73</v>
      </c>
      <c r="AN20" s="793"/>
      <c r="AO20" s="789"/>
      <c r="AP20" s="64" t="s">
        <v>248</v>
      </c>
      <c r="AQ20" s="48">
        <f>SUMIF('UFCA - JN'!$I$797:$I$798,AP20,'UFCA - JN'!$L$797:$L$798)</f>
        <v>0</v>
      </c>
      <c r="AR20" s="48">
        <f>SUMIF('UFCA - JN'!$I$339:$I$347,AP20,'UFCA - JN'!$L$339:$L$347)</f>
        <v>0</v>
      </c>
      <c r="AS20" s="48">
        <f>SUMIF('UFCA - JN'!$I$348:$I$423,AP20,'UFCA - JN'!$L$348:$L$423)</f>
        <v>664.04000000000019</v>
      </c>
      <c r="AT20" s="48">
        <f>SUMIF('UFCA - JN'!$I$424:$I$448,AP20,'UFCA - JN'!$L$424:$L$448)</f>
        <v>0</v>
      </c>
      <c r="AV20" s="793"/>
      <c r="AW20" s="12"/>
      <c r="AX20" s="64" t="s">
        <v>248</v>
      </c>
      <c r="AY20" s="48">
        <v>0</v>
      </c>
      <c r="BA20" s="793"/>
      <c r="BB20" s="789"/>
      <c r="BC20" s="64" t="s">
        <v>248</v>
      </c>
      <c r="BD20" s="48">
        <f>SUMIF('UFCA - JN'!$I$799:$I$800,BC20,'UFCA - JN'!$L$799:$L$800)</f>
        <v>0</v>
      </c>
      <c r="BE20" s="48">
        <f>SUMIF('UFCA - JN'!$I$449:$I$549,BC20,'UFCA - JN'!$L$449:$L$549)</f>
        <v>977.62999999999988</v>
      </c>
      <c r="BF20" s="48">
        <f>SUMIF('UFCA - JN'!$I$550:$I$577,BC20,'UFCA - JN'!$L$550:$L$577)</f>
        <v>0</v>
      </c>
      <c r="BH20" s="793"/>
      <c r="BI20" s="789"/>
      <c r="BJ20" s="64" t="s">
        <v>248</v>
      </c>
      <c r="BK20" s="48">
        <f>SUMIF('UFCA - JN'!$I$761:$I$769,BJ20,'UFCA - JN'!$L$761:$L$769)</f>
        <v>0</v>
      </c>
      <c r="BL20" s="48">
        <f>SUMIF('UFCA - JN'!$I$770:$I$778,BJ20,'UFCA - JN'!$L$770:$L$778)</f>
        <v>0</v>
      </c>
      <c r="BN20" s="793"/>
      <c r="BO20" s="789"/>
      <c r="BP20" s="64" t="s">
        <v>248</v>
      </c>
      <c r="BQ20" s="48">
        <f>SUMIF('UFCA - JN'!$I$578:$I$760,BP20,'UFCA - JN'!$L$578:$L$760)</f>
        <v>0</v>
      </c>
      <c r="BS20" s="793"/>
      <c r="BT20" s="789"/>
      <c r="BU20" s="64" t="s">
        <v>248</v>
      </c>
      <c r="BV20" s="48">
        <v>0</v>
      </c>
    </row>
    <row r="21" spans="1:74">
      <c r="A21" s="791"/>
      <c r="B21" s="789"/>
      <c r="C21" s="64" t="s">
        <v>208</v>
      </c>
      <c r="D21" s="196">
        <f ca="1">SUMIF('UFCA - JN'!$I$779:$L$786,C21,'UFCA - JN'!$L$779:$L$786)</f>
        <v>0</v>
      </c>
      <c r="E21" s="48">
        <f ca="1">SUMIF('UFCA - JN'!$I$787:$L$788,C21,'UFCA - JN'!$L$787:$L$788)</f>
        <v>0</v>
      </c>
      <c r="F21" s="48">
        <f>SUMIF('UFCA - JN'!$I$4:$I$58,C21,'UFCA - JN'!$L$4:$L$58)</f>
        <v>419.99999999999983</v>
      </c>
      <c r="G21" s="48">
        <f>SUMIF('UFCA - JN'!$I$66:$I$78,C21,'UFCA - JN'!$L$66:$L$78)</f>
        <v>75.509999999999991</v>
      </c>
      <c r="I21" s="793"/>
      <c r="J21" s="789"/>
      <c r="K21" s="64" t="s">
        <v>208</v>
      </c>
      <c r="L21" s="48">
        <f ca="1">SUMIF('UFCA - JN'!$I$789:$L$790,K21,'UFCA - JN'!$L$789:$L$790)</f>
        <v>0</v>
      </c>
      <c r="M21" s="48">
        <f>SUMIF('UFCA - JN'!$I$79:$I$124,K21,'UFCA - JN'!$L$79:$L$124)</f>
        <v>301.62000000000006</v>
      </c>
      <c r="N21" s="48">
        <f>SUMIF('UFCA - JN'!$I$125:$I$145,K21,'UFCA - JN'!$L$125:$L$145)</f>
        <v>55.529999999999994</v>
      </c>
      <c r="P21" s="793"/>
      <c r="Q21" s="789"/>
      <c r="R21" s="64" t="s">
        <v>208</v>
      </c>
      <c r="S21" s="48">
        <f>SUMIF('UFCA - JN'!$I$791:$I$792,R21,'UFCA - JN'!$L$791:$L$792)</f>
        <v>0</v>
      </c>
      <c r="T21" s="48">
        <f>SUMIF('UFCA - JN'!$I$146:$I$183,R21,'UFCA - JN'!$L$146:$L$183)</f>
        <v>94.050000000000011</v>
      </c>
      <c r="U21" s="48">
        <f>SUMIF('UFCA - JN'!$I$184:$I$207,R21,'UFCA - JN'!$L$184:$L$207)</f>
        <v>73.87</v>
      </c>
      <c r="W21" s="793"/>
      <c r="X21" s="789"/>
      <c r="Y21" s="64" t="s">
        <v>208</v>
      </c>
      <c r="Z21" s="48">
        <f>SUMIF('UFCA - JN'!$I$793:$I$794,Y21,'UFCA - JN'!$L$793:$L$794)</f>
        <v>0</v>
      </c>
      <c r="AA21" s="48">
        <f>SUMIF('UFCA - JN'!$I$208:$I$244,Y21,'UFCA - JN'!$L$208:$L$244)</f>
        <v>31.72</v>
      </c>
      <c r="AC21" s="793"/>
      <c r="AD21" s="789"/>
      <c r="AE21" s="64" t="s">
        <v>208</v>
      </c>
      <c r="AF21" s="48">
        <f>SUMIF('UFCA - JN'!$I$245:$I$268,AE21,'UFCA - JN'!$L$245:$L$268)</f>
        <v>0</v>
      </c>
      <c r="AH21" s="793"/>
      <c r="AI21" s="789"/>
      <c r="AJ21" s="64" t="s">
        <v>208</v>
      </c>
      <c r="AK21" s="48">
        <f>SUMIF('UFCA - JN'!$I$795:$I$796,AJ21,'UFCA - JN'!$L$795:$L$796)</f>
        <v>0</v>
      </c>
      <c r="AL21" s="48">
        <f>SUMIF('UFCA - JN'!$I$269:$I$338,AJ21,'UFCA - JN'!$L$269:$L$338)</f>
        <v>0</v>
      </c>
      <c r="AN21" s="793"/>
      <c r="AO21" s="789"/>
      <c r="AP21" s="64" t="s">
        <v>208</v>
      </c>
      <c r="AQ21" s="48">
        <f>SUMIF('UFCA - JN'!$I$797:$I$798,AP21,'UFCA - JN'!$L$797:$L$798)</f>
        <v>0</v>
      </c>
      <c r="AR21" s="48">
        <f>SUMIF('UFCA - JN'!$I$339:$I$347,AP21,'UFCA - JN'!$L$339:$L$347)</f>
        <v>0</v>
      </c>
      <c r="AS21" s="48">
        <f>SUMIF('UFCA - JN'!$I$348:$I$423,AP21,'UFCA - JN'!$L$348:$L$423)</f>
        <v>18.28</v>
      </c>
      <c r="AT21" s="48">
        <f>SUMIF('UFCA - JN'!$I$424:$I$448,AP21,'UFCA - JN'!$L$424:$L$448)</f>
        <v>40.459999999999994</v>
      </c>
      <c r="AV21" s="793"/>
      <c r="AW21" s="12"/>
      <c r="AX21" s="64" t="s">
        <v>208</v>
      </c>
      <c r="AY21" s="48">
        <v>0</v>
      </c>
      <c r="BA21" s="793"/>
      <c r="BB21" s="789"/>
      <c r="BC21" s="64" t="s">
        <v>208</v>
      </c>
      <c r="BD21" s="48">
        <f>SUMIF('UFCA - JN'!$I$799:$I$800,BC21,'UFCA - JN'!$L$799:$L$800)</f>
        <v>0</v>
      </c>
      <c r="BE21" s="48">
        <f>SUMIF('UFCA - JN'!$I$449:$I$549,BC21,'UFCA - JN'!$L$449:$L$549)</f>
        <v>616.05999999999995</v>
      </c>
      <c r="BF21" s="48">
        <f>SUMIF('UFCA - JN'!$I$550:$I$577,BC21,'UFCA - JN'!$L$550:$L$577)</f>
        <v>85.200000000000017</v>
      </c>
      <c r="BH21" s="793"/>
      <c r="BI21" s="789"/>
      <c r="BJ21" s="64" t="s">
        <v>208</v>
      </c>
      <c r="BK21" s="48">
        <f>SUMIF('UFCA - JN'!$I$761:$I$769,BJ21,'UFCA - JN'!$L$761:$L$769)</f>
        <v>0</v>
      </c>
      <c r="BL21" s="48">
        <f>SUMIF('UFCA - JN'!$I$770:$I$778,BJ21,'UFCA - JN'!$L$770:$L$778)</f>
        <v>0</v>
      </c>
      <c r="BN21" s="793"/>
      <c r="BO21" s="789"/>
      <c r="BP21" s="64" t="s">
        <v>208</v>
      </c>
      <c r="BQ21" s="48">
        <f>SUMIF('UFCA - JN'!$I$578:$I$760,BP21,'UFCA - JN'!$L$578:$L$760)</f>
        <v>0</v>
      </c>
      <c r="BS21" s="793"/>
      <c r="BT21" s="789"/>
      <c r="BU21" s="64" t="s">
        <v>208</v>
      </c>
      <c r="BV21" s="48">
        <v>0</v>
      </c>
    </row>
    <row r="22" spans="1:74">
      <c r="A22" s="791"/>
      <c r="B22" s="789"/>
      <c r="C22" s="64" t="s">
        <v>596</v>
      </c>
      <c r="D22" s="196">
        <f ca="1">SUMIF('UFCA - JN'!$I$779:$L$786,C22,'UFCA - JN'!$L$779:$L$786)</f>
        <v>0</v>
      </c>
      <c r="E22" s="48">
        <f ca="1">SUMIF('UFCA - JN'!$I$787:$L$788,C22,'UFCA - JN'!$L$787:$L$788)</f>
        <v>0</v>
      </c>
      <c r="F22" s="48">
        <f>SUMIF('UFCA - JN'!$I$4:$I$58,C22,'UFCA - JN'!$L$4:$L$58)</f>
        <v>66.599999999999994</v>
      </c>
      <c r="G22" s="48">
        <f>SUMIF('UFCA - JN'!$I$66:$I$78,C22,'UFCA - JN'!$L$66:$L$78)</f>
        <v>0</v>
      </c>
      <c r="I22" s="793"/>
      <c r="J22" s="789"/>
      <c r="K22" s="64" t="s">
        <v>596</v>
      </c>
      <c r="L22" s="48">
        <f ca="1">SUMIF('UFCA - JN'!$I$789:$L$790,K22,'UFCA - JN'!$L$789:$L$790)</f>
        <v>0</v>
      </c>
      <c r="M22" s="48">
        <f>SUMIF('UFCA - JN'!$I$79:$I$124,K22,'UFCA - JN'!$L$79:$L$124)</f>
        <v>331.99999999999994</v>
      </c>
      <c r="N22" s="48">
        <f>SUMIF('UFCA - JN'!$I$125:$I$145,K22,'UFCA - JN'!$L$125:$L$145)</f>
        <v>0</v>
      </c>
      <c r="P22" s="793"/>
      <c r="Q22" s="789"/>
      <c r="R22" s="64" t="s">
        <v>596</v>
      </c>
      <c r="S22" s="48">
        <f>SUMIF('UFCA - JN'!$I$791:$I$792,R22,'UFCA - JN'!$L$791:$L$792)</f>
        <v>0</v>
      </c>
      <c r="T22" s="48">
        <f>SUMIF('UFCA - JN'!$I$146:$I$183,R22,'UFCA - JN'!$L$146:$L$183)</f>
        <v>140.95000000000002</v>
      </c>
      <c r="U22" s="48">
        <f>SUMIF('UFCA - JN'!$I$184:$I$207,R22,'UFCA - JN'!$L$184:$L$207)</f>
        <v>121.82</v>
      </c>
      <c r="W22" s="793"/>
      <c r="X22" s="789"/>
      <c r="Y22" s="64" t="s">
        <v>596</v>
      </c>
      <c r="Z22" s="48">
        <f>SUMIF('UFCA - JN'!$I$793:$I$794,Y22,'UFCA - JN'!$L$793:$L$794)</f>
        <v>0</v>
      </c>
      <c r="AA22" s="48">
        <f>SUMIF('UFCA - JN'!$I$208:$I$244,Y22,'UFCA - JN'!$L$208:$L$244)</f>
        <v>1257.6699999999996</v>
      </c>
      <c r="AC22" s="793"/>
      <c r="AD22" s="789"/>
      <c r="AE22" s="64" t="s">
        <v>596</v>
      </c>
      <c r="AF22" s="48">
        <f>SUMIF('UFCA - JN'!$I$245:$I$268,AE22,'UFCA - JN'!$L$245:$L$268)</f>
        <v>167.46</v>
      </c>
      <c r="AH22" s="793"/>
      <c r="AI22" s="789"/>
      <c r="AJ22" s="64" t="s">
        <v>596</v>
      </c>
      <c r="AK22" s="48">
        <f>SUMIF('UFCA - JN'!$I$795:$I$796,AJ22,'UFCA - JN'!$L$795:$L$796)</f>
        <v>0</v>
      </c>
      <c r="AL22" s="48">
        <f>SUMIF('UFCA - JN'!$I$269:$I$338,AJ22,'UFCA - JN'!$L$269:$L$338)</f>
        <v>0</v>
      </c>
      <c r="AN22" s="793"/>
      <c r="AO22" s="789"/>
      <c r="AP22" s="64" t="s">
        <v>596</v>
      </c>
      <c r="AQ22" s="48">
        <f>SUMIF('UFCA - JN'!$I$797:$I$798,AP22,'UFCA - JN'!$L$797:$L$798)</f>
        <v>0</v>
      </c>
      <c r="AR22" s="48">
        <f>SUMIF('UFCA - JN'!$I$339:$I$347,AP22,'UFCA - JN'!$L$339:$L$347)</f>
        <v>0</v>
      </c>
      <c r="AS22" s="48">
        <f>SUMIF('UFCA - JN'!$I$348:$I$423,AP22,'UFCA - JN'!$L$348:$L$423)</f>
        <v>339.16</v>
      </c>
      <c r="AT22" s="48">
        <f>SUMIF('UFCA - JN'!$I$424:$I$448,AP22,'UFCA - JN'!$L$424:$L$448)</f>
        <v>334.40999999999997</v>
      </c>
      <c r="AV22" s="793"/>
      <c r="AW22" s="12"/>
      <c r="AX22" s="64" t="s">
        <v>596</v>
      </c>
      <c r="AY22" s="48">
        <v>0</v>
      </c>
      <c r="BA22" s="793"/>
      <c r="BB22" s="789"/>
      <c r="BC22" s="64" t="s">
        <v>596</v>
      </c>
      <c r="BD22" s="48">
        <f>SUMIF('UFCA - JN'!$I$799:$I$800,BC22,'UFCA - JN'!$L$799:$L$800)</f>
        <v>0</v>
      </c>
      <c r="BE22" s="48">
        <f>SUMIF('UFCA - JN'!$I$449:$I$549,BC22,'UFCA - JN'!$L$449:$L$549)</f>
        <v>0</v>
      </c>
      <c r="BF22" s="48">
        <f>SUMIF('UFCA - JN'!$I$550:$I$577,BC22,'UFCA - JN'!$L$550:$L$577)</f>
        <v>0</v>
      </c>
      <c r="BH22" s="793"/>
      <c r="BI22" s="789"/>
      <c r="BJ22" s="64" t="s">
        <v>596</v>
      </c>
      <c r="BK22" s="48">
        <f>SUMIF('UFCA - JN'!$I$761:$I$769,BJ22,'UFCA - JN'!$L$761:$L$769)</f>
        <v>0</v>
      </c>
      <c r="BL22" s="48">
        <f>SUMIF('UFCA - JN'!$I$770:$I$778,BJ22,'UFCA - JN'!$L$770:$L$778)</f>
        <v>0</v>
      </c>
      <c r="BN22" s="793"/>
      <c r="BO22" s="789"/>
      <c r="BP22" s="64" t="s">
        <v>596</v>
      </c>
      <c r="BQ22" s="48">
        <f>SUMIF('UFCA - JN'!$I$578:$I$760,BP22,'UFCA - JN'!$L$578:$L$760)</f>
        <v>0</v>
      </c>
      <c r="BS22" s="793"/>
      <c r="BT22" s="789"/>
      <c r="BU22" s="64" t="s">
        <v>596</v>
      </c>
      <c r="BV22" s="48">
        <v>0</v>
      </c>
    </row>
    <row r="23" spans="1:74">
      <c r="A23" s="791"/>
      <c r="B23" s="789"/>
      <c r="C23" s="64" t="s">
        <v>593</v>
      </c>
      <c r="D23" s="196">
        <f ca="1">SUMIF('UFCA - JN'!$I$779:$L$786,C23,'UFCA - JN'!$L$779:$L$786)</f>
        <v>0</v>
      </c>
      <c r="E23" s="48">
        <f ca="1">SUMIF('UFCA - JN'!$I$787:$L$788,C23,'UFCA - JN'!$L$787:$L$788)</f>
        <v>0</v>
      </c>
      <c r="F23" s="48">
        <f>SUMIF('UFCA - JN'!$I$4:$I$58,C23,'UFCA - JN'!$L$4:$L$58)</f>
        <v>0</v>
      </c>
      <c r="G23" s="48">
        <f>SUMIF('UFCA - JN'!$I$66:$I$78,C23,'UFCA - JN'!$L$66:$L$78)</f>
        <v>159.81</v>
      </c>
      <c r="I23" s="793"/>
      <c r="J23" s="789"/>
      <c r="K23" s="64" t="s">
        <v>593</v>
      </c>
      <c r="L23" s="48">
        <f ca="1">SUMIF('UFCA - JN'!$I$789:$L$790,K23,'UFCA - JN'!$L$789:$L$790)</f>
        <v>0</v>
      </c>
      <c r="M23" s="48">
        <f>SUMIF('UFCA - JN'!$I$79:$I$124,K23,'UFCA - JN'!$L$79:$L$124)</f>
        <v>0</v>
      </c>
      <c r="N23" s="48">
        <f>SUMIF('UFCA - JN'!$I$125:$I$145,K23,'UFCA - JN'!$L$125:$L$145)</f>
        <v>297.85000000000002</v>
      </c>
      <c r="P23" s="793"/>
      <c r="Q23" s="789"/>
      <c r="R23" s="64" t="s">
        <v>593</v>
      </c>
      <c r="S23" s="48">
        <f>SUMIF('UFCA - JN'!$I$791:$I$792,R23,'UFCA - JN'!$L$791:$L$792)</f>
        <v>0</v>
      </c>
      <c r="T23" s="48">
        <f>SUMIF('UFCA - JN'!$I$146:$I$183,R23,'UFCA - JN'!$L$146:$L$183)</f>
        <v>0</v>
      </c>
      <c r="U23" s="48">
        <f>SUMIF('UFCA - JN'!$I$184:$I$207,R23,'UFCA - JN'!$L$184:$L$207)</f>
        <v>417.44</v>
      </c>
      <c r="W23" s="793"/>
      <c r="X23" s="789"/>
      <c r="Y23" s="64" t="s">
        <v>593</v>
      </c>
      <c r="Z23" s="48">
        <f>SUMIF('UFCA - JN'!$I$793:$I$794,Y23,'UFCA - JN'!$L$793:$L$794)</f>
        <v>0</v>
      </c>
      <c r="AA23" s="48">
        <f>SUMIF('UFCA - JN'!$I$208:$I$244,Y23,'UFCA - JN'!$L$208:$L$244)</f>
        <v>0</v>
      </c>
      <c r="AC23" s="793"/>
      <c r="AD23" s="789"/>
      <c r="AE23" s="64" t="s">
        <v>593</v>
      </c>
      <c r="AF23" s="48">
        <f>SUMIF('UFCA - JN'!$I$245:$I$268,AE23,'UFCA - JN'!$L$245:$L$268)</f>
        <v>0</v>
      </c>
      <c r="AH23" s="793"/>
      <c r="AI23" s="789"/>
      <c r="AJ23" s="64" t="s">
        <v>593</v>
      </c>
      <c r="AK23" s="48">
        <f>SUMIF('UFCA - JN'!$I$795:$I$796,AJ23,'UFCA - JN'!$L$795:$L$796)</f>
        <v>0</v>
      </c>
      <c r="AL23" s="48">
        <f>SUMIF('UFCA - JN'!$I$269:$I$338,AJ23,'UFCA - JN'!$L$269:$L$338)</f>
        <v>0</v>
      </c>
      <c r="AN23" s="793"/>
      <c r="AO23" s="789"/>
      <c r="AP23" s="64" t="s">
        <v>593</v>
      </c>
      <c r="AQ23" s="48">
        <f>SUMIF('UFCA - JN'!$I$797:$I$798,AP23,'UFCA - JN'!$L$797:$L$798)</f>
        <v>0</v>
      </c>
      <c r="AR23" s="48">
        <f>SUMIF('UFCA - JN'!$I$339:$I$347,AP23,'UFCA - JN'!$L$339:$L$347)</f>
        <v>0</v>
      </c>
      <c r="AS23" s="48">
        <f>SUMIF('UFCA - JN'!$I$348:$I$423,AP23,'UFCA - JN'!$L$348:$L$423)</f>
        <v>0</v>
      </c>
      <c r="AT23" s="48">
        <f>SUMIF('UFCA - JN'!$I$424:$I$448,AP23,'UFCA - JN'!$L$424:$L$448)</f>
        <v>130.91999999999999</v>
      </c>
      <c r="AV23" s="793"/>
      <c r="AW23" s="12"/>
      <c r="AX23" s="64" t="s">
        <v>593</v>
      </c>
      <c r="AY23" s="48">
        <v>0</v>
      </c>
      <c r="BA23" s="793"/>
      <c r="BB23" s="789"/>
      <c r="BC23" s="64" t="s">
        <v>593</v>
      </c>
      <c r="BD23" s="48">
        <f>SUMIF('UFCA - JN'!$I$799:$I$800,BC23,'UFCA - JN'!$L$799:$L$800)</f>
        <v>0</v>
      </c>
      <c r="BE23" s="48">
        <f>SUMIF('UFCA - JN'!$I$449:$I$549,BC23,'UFCA - JN'!$L$449:$L$549)</f>
        <v>0</v>
      </c>
      <c r="BF23" s="48">
        <f>SUMIF('UFCA - JN'!$I$550:$I$577,BC23,'UFCA - JN'!$L$550:$L$577)</f>
        <v>459.64000000000004</v>
      </c>
      <c r="BH23" s="793"/>
      <c r="BI23" s="789"/>
      <c r="BJ23" s="64" t="s">
        <v>593</v>
      </c>
      <c r="BK23" s="48">
        <f>SUMIF('UFCA - JN'!$I$761:$I$769,BJ23,'UFCA - JN'!$L$761:$L$769)</f>
        <v>0</v>
      </c>
      <c r="BL23" s="48">
        <f>SUMIF('UFCA - JN'!$I$770:$I$778,BJ23,'UFCA - JN'!$L$770:$L$778)</f>
        <v>0</v>
      </c>
      <c r="BN23" s="793"/>
      <c r="BO23" s="789"/>
      <c r="BP23" s="64" t="s">
        <v>593</v>
      </c>
      <c r="BQ23" s="48">
        <f>SUMIF('UFCA - JN'!$I$578:$I$760,BP23,'UFCA - JN'!$L$578:$L$760)</f>
        <v>0</v>
      </c>
      <c r="BS23" s="793"/>
      <c r="BT23" s="789"/>
      <c r="BU23" s="64" t="s">
        <v>593</v>
      </c>
      <c r="BV23" s="48">
        <v>0</v>
      </c>
    </row>
    <row r="24" spans="1:74">
      <c r="A24" s="791"/>
      <c r="B24" s="789"/>
      <c r="C24" s="64" t="s">
        <v>595</v>
      </c>
      <c r="D24" s="196">
        <f ca="1">SUMIF('UFCA - JN'!$I$779:$L$786,C24,'UFCA - JN'!$L$779:$L$786)</f>
        <v>0</v>
      </c>
      <c r="E24" s="48">
        <f ca="1">SUMIF('UFCA - JN'!$I$787:$L$788,C24,'UFCA - JN'!$L$787:$L$788)</f>
        <v>0</v>
      </c>
      <c r="F24" s="48">
        <f>SUMIF('UFCA - JN'!$I$4:$I$58,C24,'UFCA - JN'!$L$4:$L$58)</f>
        <v>0</v>
      </c>
      <c r="G24" s="48">
        <f>SUMIF('UFCA - JN'!$I$66:$I$78,C24,'UFCA - JN'!$L$66:$L$78)</f>
        <v>0</v>
      </c>
      <c r="I24" s="793"/>
      <c r="J24" s="789"/>
      <c r="K24" s="64" t="s">
        <v>595</v>
      </c>
      <c r="L24" s="48">
        <f ca="1">SUMIF('UFCA - JN'!$I$789:$L$790,K24,'UFCA - JN'!$L$789:$L$790)</f>
        <v>0</v>
      </c>
      <c r="M24" s="48">
        <f>SUMIF('UFCA - JN'!$I$79:$I$124,K24,'UFCA - JN'!$L$79:$L$124)</f>
        <v>0</v>
      </c>
      <c r="N24" s="48">
        <f>SUMIF('UFCA - JN'!$I$125:$I$145,K24,'UFCA - JN'!$L$125:$L$145)</f>
        <v>0</v>
      </c>
      <c r="P24" s="793"/>
      <c r="Q24" s="789"/>
      <c r="R24" s="64" t="s">
        <v>595</v>
      </c>
      <c r="S24" s="48">
        <f>SUMIF('UFCA - JN'!$I$791:$I$792,R24,'UFCA - JN'!$L$791:$L$792)</f>
        <v>0</v>
      </c>
      <c r="T24" s="48">
        <f>SUMIF('UFCA - JN'!$I$146:$I$183,R24,'UFCA - JN'!$L$146:$L$183)</f>
        <v>0</v>
      </c>
      <c r="U24" s="48">
        <f>SUMIF('UFCA - JN'!$I$184:$I$207,R24,'UFCA - JN'!$L$184:$L$207)</f>
        <v>0</v>
      </c>
      <c r="W24" s="793"/>
      <c r="X24" s="789"/>
      <c r="Y24" s="64" t="s">
        <v>595</v>
      </c>
      <c r="Z24" s="48">
        <f>SUMIF('UFCA - JN'!$I$793:$I$794,Y24,'UFCA - JN'!$L$793:$L$794)</f>
        <v>0</v>
      </c>
      <c r="AA24" s="48">
        <f>SUMIF('UFCA - JN'!$I$208:$I$244,Y24,'UFCA - JN'!$L$208:$L$244)</f>
        <v>0</v>
      </c>
      <c r="AC24" s="793"/>
      <c r="AD24" s="789"/>
      <c r="AE24" s="64" t="s">
        <v>595</v>
      </c>
      <c r="AF24" s="48">
        <f>SUMIF('UFCA - JN'!$I$245:$I$268,AE24,'UFCA - JN'!$L$245:$L$268)</f>
        <v>0</v>
      </c>
      <c r="AH24" s="793"/>
      <c r="AI24" s="789"/>
      <c r="AJ24" s="64" t="s">
        <v>595</v>
      </c>
      <c r="AK24" s="48">
        <f>SUMIF('UFCA - JN'!$I$795:$I$796,AJ24,'UFCA - JN'!$L$795:$L$796)</f>
        <v>0</v>
      </c>
      <c r="AL24" s="48">
        <f>SUMIF('UFCA - JN'!$I$269:$I$338,AJ24,'UFCA - JN'!$L$269:$L$338)</f>
        <v>0</v>
      </c>
      <c r="AN24" s="793"/>
      <c r="AO24" s="789"/>
      <c r="AP24" s="64" t="s">
        <v>595</v>
      </c>
      <c r="AQ24" s="48">
        <f>SUMIF('UFCA - JN'!$I$797:$I$798,AP24,'UFCA - JN'!$L$797:$L$798)</f>
        <v>0</v>
      </c>
      <c r="AR24" s="48">
        <f>SUMIF('UFCA - JN'!$I$339:$I$347,AP24,'UFCA - JN'!$L$339:$L$347)</f>
        <v>0</v>
      </c>
      <c r="AS24" s="48">
        <f>SUMIF('UFCA - JN'!$I$348:$I$423,AP24,'UFCA - JN'!$L$348:$L$423)</f>
        <v>0</v>
      </c>
      <c r="AT24" s="48">
        <f>SUMIF('UFCA - JN'!$I$424:$I$448,AP24,'UFCA - JN'!$L$424:$L$448)</f>
        <v>0</v>
      </c>
      <c r="AV24" s="793"/>
      <c r="AW24" s="12"/>
      <c r="AX24" s="64" t="s">
        <v>595</v>
      </c>
      <c r="AY24" s="48">
        <v>0</v>
      </c>
      <c r="BA24" s="793"/>
      <c r="BB24" s="789"/>
      <c r="BC24" s="64" t="s">
        <v>595</v>
      </c>
      <c r="BD24" s="48">
        <f>SUMIF('UFCA - JN'!$I$799:$I$800,BC24,'UFCA - JN'!$L$799:$L$800)</f>
        <v>0</v>
      </c>
      <c r="BE24" s="48">
        <f>SUMIF('UFCA - JN'!$I$449:$I$549,BC24,'UFCA - JN'!$L$449:$L$549)</f>
        <v>0</v>
      </c>
      <c r="BF24" s="48">
        <f>SUMIF('UFCA - JN'!$I$550:$I$577,BC24,'UFCA - JN'!$L$550:$L$577)</f>
        <v>0</v>
      </c>
      <c r="BH24" s="793"/>
      <c r="BI24" s="789"/>
      <c r="BJ24" s="64" t="s">
        <v>595</v>
      </c>
      <c r="BK24" s="48">
        <f>SUMIF('UFCA - JN'!$I$761:$I$769,BJ24,'UFCA - JN'!$L$761:$L$769)</f>
        <v>480</v>
      </c>
      <c r="BL24" s="48">
        <f>SUMIF('UFCA - JN'!$I$770:$I$778,BJ24,'UFCA - JN'!$L$770:$L$778)</f>
        <v>480</v>
      </c>
      <c r="BN24" s="793"/>
      <c r="BO24" s="789"/>
      <c r="BP24" s="64" t="s">
        <v>595</v>
      </c>
      <c r="BQ24" s="48">
        <f>SUMIF('UFCA - JN'!$I$578:$I$760,BP24,'UFCA - JN'!$L$578:$L$760)</f>
        <v>0</v>
      </c>
      <c r="BS24" s="793"/>
      <c r="BT24" s="789"/>
      <c r="BU24" s="64" t="s">
        <v>595</v>
      </c>
      <c r="BV24" s="48">
        <v>0</v>
      </c>
    </row>
    <row r="25" spans="1:74">
      <c r="A25" s="791"/>
      <c r="B25" s="789"/>
      <c r="C25" s="64" t="s">
        <v>594</v>
      </c>
      <c r="D25" s="196">
        <f ca="1">SUMIF('UFCA - JN'!$I$779:$L$786,C25,'UFCA - JN'!$L$779:$L$786)</f>
        <v>0</v>
      </c>
      <c r="E25" s="48">
        <f ca="1">SUMIF('UFCA - JN'!$I$787:$L$788,C25,'UFCA - JN'!$L$787:$L$788)</f>
        <v>0</v>
      </c>
      <c r="F25" s="48">
        <f>SUMIF('UFCA - JN'!$I$4:$I$58,C25,'UFCA - JN'!$L$4:$L$58)</f>
        <v>0</v>
      </c>
      <c r="G25" s="48">
        <f>SUMIF('UFCA - JN'!$I$66:$I$78,C25,'UFCA - JN'!$L$66:$L$78)</f>
        <v>0</v>
      </c>
      <c r="I25" s="794"/>
      <c r="J25" s="789"/>
      <c r="K25" s="64" t="s">
        <v>594</v>
      </c>
      <c r="L25" s="48">
        <f ca="1">SUMIF('UFCA - JN'!$I$789:$L$790,K25,'UFCA - JN'!$L$789:$L$790)</f>
        <v>0</v>
      </c>
      <c r="M25" s="48">
        <f>SUMIF('UFCA - JN'!$I$79:$I$124,K25,'UFCA - JN'!$L$79:$L$124)</f>
        <v>0</v>
      </c>
      <c r="N25" s="48">
        <f>SUMIF('UFCA - JN'!$I$125:$I$145,K25,'UFCA - JN'!$L$125:$L$145)</f>
        <v>0</v>
      </c>
      <c r="P25" s="794"/>
      <c r="Q25" s="789"/>
      <c r="R25" s="64" t="s">
        <v>594</v>
      </c>
      <c r="S25" s="48">
        <f>SUMIF('UFCA - JN'!$I$791:$I$792,R25,'UFCA - JN'!$L$791:$L$792)</f>
        <v>0</v>
      </c>
      <c r="T25" s="48">
        <f>SUMIF('UFCA - JN'!$I$146:$I$183,R25,'UFCA - JN'!$L$146:$L$183)</f>
        <v>0</v>
      </c>
      <c r="U25" s="48">
        <f>SUMIF('UFCA - JN'!$I$184:$I$207,R25,'UFCA - JN'!$L$184:$L$207)</f>
        <v>0</v>
      </c>
      <c r="W25" s="794"/>
      <c r="X25" s="789"/>
      <c r="Y25" s="64" t="s">
        <v>594</v>
      </c>
      <c r="Z25" s="48">
        <f>SUMIF('UFCA - JN'!$I$793:$I$794,Y25,'UFCA - JN'!$L$793:$L$794)</f>
        <v>0</v>
      </c>
      <c r="AA25" s="48">
        <f>SUMIF('UFCA - JN'!$I$208:$I$244,Y25,'UFCA - JN'!$L$208:$L$244)</f>
        <v>0</v>
      </c>
      <c r="AC25" s="794"/>
      <c r="AD25" s="789"/>
      <c r="AE25" s="64" t="s">
        <v>594</v>
      </c>
      <c r="AF25" s="48">
        <f>SUMIF('UFCA - JN'!$I$245:$I$268,AE25,'UFCA - JN'!$L$245:$L$268)</f>
        <v>0</v>
      </c>
      <c r="AH25" s="794"/>
      <c r="AI25" s="789"/>
      <c r="AJ25" s="64" t="s">
        <v>594</v>
      </c>
      <c r="AK25" s="48">
        <f>SUMIF('UFCA - JN'!$I$795:$I$796,AJ25,'UFCA - JN'!$L$795:$L$796)</f>
        <v>0</v>
      </c>
      <c r="AL25" s="48">
        <f>SUMIF('UFCA - JN'!$I$269:$I$338,AJ25,'UFCA - JN'!$L$269:$L$338)</f>
        <v>0</v>
      </c>
      <c r="AN25" s="794"/>
      <c r="AO25" s="789"/>
      <c r="AP25" s="64" t="s">
        <v>594</v>
      </c>
      <c r="AQ25" s="48">
        <f>SUMIF('UFCA - JN'!$I$797:$I$798,AP25,'UFCA - JN'!$L$797:$L$798)</f>
        <v>0</v>
      </c>
      <c r="AR25" s="48">
        <f>SUMIF('UFCA - JN'!$I$339:$I$347,AP25,'UFCA - JN'!$L$339:$L$347)</f>
        <v>0</v>
      </c>
      <c r="AS25" s="48">
        <f>SUMIF('UFCA - JN'!$I$348:$I$423,AP25,'UFCA - JN'!$L$348:$L$423)</f>
        <v>0</v>
      </c>
      <c r="AT25" s="48">
        <f>SUMIF('UFCA - JN'!$I$424:$I$448,AP25,'UFCA - JN'!$L$424:$L$448)</f>
        <v>0</v>
      </c>
      <c r="AV25" s="794"/>
      <c r="AW25" s="12"/>
      <c r="AX25" s="64" t="s">
        <v>594</v>
      </c>
      <c r="AY25" s="48">
        <v>0</v>
      </c>
      <c r="BA25" s="794"/>
      <c r="BB25" s="789"/>
      <c r="BC25" s="64" t="s">
        <v>594</v>
      </c>
      <c r="BD25" s="48">
        <f>SUMIF('UFCA - JN'!$I$799:$I$800,BC25,'UFCA - JN'!$L$799:$L$800)</f>
        <v>0</v>
      </c>
      <c r="BE25" s="48">
        <f>SUMIF('UFCA - JN'!$I$449:$I$549,BC25,'UFCA - JN'!$L$449:$L$549)</f>
        <v>0</v>
      </c>
      <c r="BF25" s="48">
        <f>SUMIF('UFCA - JN'!$I$550:$I$577,BC25,'UFCA - JN'!$L$550:$L$577)</f>
        <v>0</v>
      </c>
      <c r="BH25" s="794"/>
      <c r="BI25" s="789"/>
      <c r="BJ25" s="64" t="s">
        <v>594</v>
      </c>
      <c r="BK25" s="48">
        <f>SUMIF('UFCA - JN'!$I$761:$I$769,BJ25,'UFCA - JN'!$L$761:$L$769)</f>
        <v>71.460000000000008</v>
      </c>
      <c r="BL25" s="48">
        <f>SUMIF('UFCA - JN'!$I$770:$I$778,BJ25,'UFCA - JN'!$L$770:$L$778)</f>
        <v>71.460000000000008</v>
      </c>
      <c r="BN25" s="794"/>
      <c r="BO25" s="789"/>
      <c r="BP25" s="64" t="s">
        <v>594</v>
      </c>
      <c r="BQ25" s="48">
        <f>SUMIF('UFCA - JN'!$I$578:$I$760,BP25,'UFCA - JN'!$L$578:$L$760)</f>
        <v>0</v>
      </c>
      <c r="BS25" s="794"/>
      <c r="BT25" s="789"/>
      <c r="BU25" s="64" t="s">
        <v>594</v>
      </c>
      <c r="BV25" s="48">
        <v>0</v>
      </c>
    </row>
    <row r="28" spans="1:74" ht="45">
      <c r="C28" s="18" t="s">
        <v>1381</v>
      </c>
      <c r="D28" s="18" t="s">
        <v>1380</v>
      </c>
      <c r="E28" s="18" t="s">
        <v>1355</v>
      </c>
      <c r="F28" s="18" t="s">
        <v>1356</v>
      </c>
      <c r="G28" s="90" t="s">
        <v>1369</v>
      </c>
      <c r="H28" s="80"/>
      <c r="K28" s="18" t="s">
        <v>1380</v>
      </c>
      <c r="L28" s="18" t="s">
        <v>1357</v>
      </c>
      <c r="M28" s="18" t="s">
        <v>1358</v>
      </c>
      <c r="N28" s="90" t="s">
        <v>1374</v>
      </c>
      <c r="O28" s="80"/>
      <c r="R28" s="18" t="s">
        <v>1380</v>
      </c>
      <c r="S28" s="18" t="s">
        <v>1405</v>
      </c>
      <c r="T28" s="18" t="s">
        <v>1406</v>
      </c>
      <c r="U28" s="90" t="s">
        <v>1404</v>
      </c>
      <c r="V28" s="80"/>
      <c r="Y28" s="18" t="s">
        <v>1380</v>
      </c>
      <c r="Z28" s="18" t="s">
        <v>1409</v>
      </c>
      <c r="AA28" s="90" t="s">
        <v>1408</v>
      </c>
      <c r="AB28" s="80"/>
      <c r="AE28" s="18" t="s">
        <v>1410</v>
      </c>
      <c r="AF28" s="90" t="s">
        <v>1408</v>
      </c>
      <c r="AG28" s="80"/>
      <c r="AJ28" s="18" t="s">
        <v>1380</v>
      </c>
      <c r="AK28" s="18" t="s">
        <v>1414</v>
      </c>
      <c r="AL28" s="90" t="s">
        <v>1411</v>
      </c>
      <c r="AM28" s="80"/>
      <c r="AP28" s="18" t="s">
        <v>1380</v>
      </c>
      <c r="AQ28" s="18" t="s">
        <v>1415</v>
      </c>
      <c r="AR28" s="18" t="s">
        <v>1419</v>
      </c>
      <c r="AS28" s="18" t="s">
        <v>1420</v>
      </c>
      <c r="AT28" s="90" t="s">
        <v>1416</v>
      </c>
      <c r="AU28" s="80"/>
      <c r="AX28" s="18">
        <v>1</v>
      </c>
      <c r="AY28" s="90" t="s">
        <v>1499</v>
      </c>
      <c r="BC28" s="18" t="s">
        <v>1380</v>
      </c>
      <c r="BD28" s="18" t="s">
        <v>1426</v>
      </c>
      <c r="BE28" s="18" t="s">
        <v>1427</v>
      </c>
      <c r="BF28" s="90" t="s">
        <v>1425</v>
      </c>
      <c r="BJ28" s="18">
        <v>1</v>
      </c>
      <c r="BK28" s="18">
        <v>2</v>
      </c>
      <c r="BL28" s="90" t="s">
        <v>1428</v>
      </c>
      <c r="BP28" s="18" t="s">
        <v>1436</v>
      </c>
      <c r="BQ28" s="226" t="s">
        <v>1433</v>
      </c>
      <c r="BU28" s="18">
        <v>2</v>
      </c>
      <c r="BV28" s="226" t="s">
        <v>1433</v>
      </c>
    </row>
    <row r="29" spans="1:74" ht="30" customHeight="1">
      <c r="A29" s="48"/>
      <c r="B29" s="12" t="s">
        <v>1362</v>
      </c>
      <c r="C29" s="197">
        <f ca="1">SUM(D4:D25)</f>
        <v>406.81</v>
      </c>
      <c r="D29" s="197">
        <f ca="1">SUM(E4:E25)</f>
        <v>476.03000000000003</v>
      </c>
      <c r="E29" s="198">
        <f>SUM(F4:F25)</f>
        <v>1294.9199999999998</v>
      </c>
      <c r="F29" s="198">
        <f>SUM(G4:G25)</f>
        <v>341.71</v>
      </c>
      <c r="G29" s="205">
        <f t="shared" ref="G29:G33" ca="1" si="0">SUM(C29:F29)</f>
        <v>2519.4699999999998</v>
      </c>
      <c r="H29" s="216"/>
      <c r="I29" s="48"/>
      <c r="J29" s="12" t="s">
        <v>1362</v>
      </c>
      <c r="K29" s="197">
        <f ca="1">SUM(L4:L25)</f>
        <v>511.1</v>
      </c>
      <c r="L29" s="197">
        <f>SUM(M4:M25)</f>
        <v>1305.4500000000003</v>
      </c>
      <c r="M29" s="197">
        <f>SUM(N4:N25)</f>
        <v>565.42000000000007</v>
      </c>
      <c r="N29" s="205">
        <f ca="1">SUM(K29:M29)</f>
        <v>2381.9700000000003</v>
      </c>
      <c r="O29" s="216"/>
      <c r="P29" s="48"/>
      <c r="Q29" s="12" t="s">
        <v>1362</v>
      </c>
      <c r="R29" s="197">
        <f>SUM(S4:S25)</f>
        <v>587.4</v>
      </c>
      <c r="S29" s="197">
        <f>SUM(T4:T25)</f>
        <v>1301.9299999999998</v>
      </c>
      <c r="T29" s="197">
        <f>SUM(U4:U25)</f>
        <v>784.13</v>
      </c>
      <c r="U29" s="205">
        <f>SUM(R29:T29)</f>
        <v>2673.46</v>
      </c>
      <c r="V29" s="216"/>
      <c r="W29" s="48"/>
      <c r="X29" s="12" t="s">
        <v>1362</v>
      </c>
      <c r="Y29" s="197">
        <f>SUM(Z4:Z25)</f>
        <v>558.04999999999995</v>
      </c>
      <c r="Z29" s="197">
        <f>SUM(AA4:AA25)</f>
        <v>1793.5599999999997</v>
      </c>
      <c r="AA29" s="234">
        <f>SUM(Y29:Z29)</f>
        <v>2351.6099999999997</v>
      </c>
      <c r="AB29" s="216"/>
      <c r="AC29" s="48"/>
      <c r="AD29" s="12" t="s">
        <v>1362</v>
      </c>
      <c r="AE29" s="197">
        <f>SUM(AF4:AF26)</f>
        <v>753.12000000000012</v>
      </c>
      <c r="AF29" s="205">
        <f t="shared" ref="AF29:AF34" si="1">SUM(AE29:AE29)</f>
        <v>753.12000000000012</v>
      </c>
      <c r="AG29" s="216"/>
      <c r="AH29" s="48"/>
      <c r="AI29" s="12" t="s">
        <v>1362</v>
      </c>
      <c r="AJ29" s="197">
        <f>SUM(AK4:AK25)</f>
        <v>481.34</v>
      </c>
      <c r="AK29" s="197">
        <f>SUM(AL4:AL25)</f>
        <v>3066.6499999999996</v>
      </c>
      <c r="AL29" s="234">
        <f>SUM(AJ29:AK29)</f>
        <v>3547.99</v>
      </c>
      <c r="AM29" s="216"/>
      <c r="AN29" s="48"/>
      <c r="AO29" s="12" t="s">
        <v>1362</v>
      </c>
      <c r="AP29" s="197">
        <f>SUM(AQ4:AQ25)</f>
        <v>460.23</v>
      </c>
      <c r="AQ29" s="197">
        <f>SUM(AR4:AR25)</f>
        <v>776.7</v>
      </c>
      <c r="AR29" s="197">
        <f>SUM(AS4:AS25)</f>
        <v>3115.8800000000006</v>
      </c>
      <c r="AS29" s="197">
        <f>SUM(AT4:AT25)</f>
        <v>751.4899999999999</v>
      </c>
      <c r="AT29" s="205">
        <f>SUM(AP29:AS29)</f>
        <v>5104.3</v>
      </c>
      <c r="AU29" s="216"/>
      <c r="AV29" s="48"/>
      <c r="AW29" s="12" t="s">
        <v>1362</v>
      </c>
      <c r="AX29" s="197">
        <f>SUM(AY4:AY25)</f>
        <v>0</v>
      </c>
      <c r="AY29" s="205">
        <f t="shared" ref="AY29:AY34" si="2">SUM(AX29:AX29)</f>
        <v>0</v>
      </c>
      <c r="BA29" s="48"/>
      <c r="BB29" s="12" t="s">
        <v>1362</v>
      </c>
      <c r="BC29" s="197">
        <f>SUM(BD4:BD25)</f>
        <v>425.08000000000004</v>
      </c>
      <c r="BD29" s="197">
        <f>SUM(BE4:BE25)</f>
        <v>2972.31</v>
      </c>
      <c r="BE29" s="197">
        <f>SUM(BF4:BF25)</f>
        <v>746.36000000000013</v>
      </c>
      <c r="BF29" s="205">
        <f>SUM(BC29:BE29)</f>
        <v>4143.75</v>
      </c>
      <c r="BH29" s="48"/>
      <c r="BI29" s="12" t="s">
        <v>1362</v>
      </c>
      <c r="BJ29" s="197">
        <f>SUM(BK4:BK25)</f>
        <v>712.48</v>
      </c>
      <c r="BK29" s="197">
        <f>SUM(BL4:BL25)</f>
        <v>712.48</v>
      </c>
      <c r="BL29" s="205">
        <f t="shared" ref="BL29:BL34" si="3">SUM(BJ29:BK29)</f>
        <v>1424.96</v>
      </c>
      <c r="BN29" s="48"/>
      <c r="BO29" s="12" t="s">
        <v>1362</v>
      </c>
      <c r="BP29" s="197">
        <f>SUM(BQ4:BQ25)</f>
        <v>2757.8399999999974</v>
      </c>
      <c r="BQ29" s="205">
        <f t="shared" ref="BQ29:BQ34" si="4">SUM(BP29:BP29)</f>
        <v>2757.8399999999974</v>
      </c>
      <c r="BS29" s="48"/>
      <c r="BT29" s="12" t="s">
        <v>1362</v>
      </c>
      <c r="BU29" s="198">
        <f>SUM(BV3)</f>
        <v>0</v>
      </c>
      <c r="BV29" s="205">
        <f t="shared" ref="BV29" si="5">SUM(BU29:BU29)</f>
        <v>0</v>
      </c>
    </row>
    <row r="30" spans="1:74" ht="15" customHeight="1">
      <c r="A30" s="98" t="s">
        <v>1367</v>
      </c>
      <c r="B30" s="200" t="s">
        <v>1361</v>
      </c>
      <c r="C30" s="199">
        <f ca="1">D4</f>
        <v>44.65</v>
      </c>
      <c r="D30" s="199">
        <v>0</v>
      </c>
      <c r="E30" s="198">
        <f>SUM(F4)</f>
        <v>43.69</v>
      </c>
      <c r="F30" s="198">
        <f>G4</f>
        <v>0</v>
      </c>
      <c r="G30" s="205">
        <f t="shared" ca="1" si="0"/>
        <v>88.34</v>
      </c>
      <c r="H30" s="216"/>
      <c r="I30" s="98" t="s">
        <v>1367</v>
      </c>
      <c r="J30" s="200" t="s">
        <v>1361</v>
      </c>
      <c r="K30" s="48">
        <v>0</v>
      </c>
      <c r="L30" s="198">
        <f>SUM(M4)</f>
        <v>109.10000000000001</v>
      </c>
      <c r="M30" s="198">
        <f>SUM(N4)</f>
        <v>27.2</v>
      </c>
      <c r="N30" s="205">
        <f t="shared" ref="N30:N39" si="6">SUM(K30:M30)</f>
        <v>136.30000000000001</v>
      </c>
      <c r="O30" s="216"/>
      <c r="P30" s="98" t="s">
        <v>1367</v>
      </c>
      <c r="Q30" s="200" t="s">
        <v>1361</v>
      </c>
      <c r="R30" s="48">
        <v>0</v>
      </c>
      <c r="S30" s="198">
        <f>SUM(T4)</f>
        <v>128.32000000000002</v>
      </c>
      <c r="T30" s="198">
        <f>SUM(U4)</f>
        <v>30.439999999999998</v>
      </c>
      <c r="U30" s="205">
        <f t="shared" ref="U30:U34" si="7">SUM(R30:T30)</f>
        <v>158.76000000000002</v>
      </c>
      <c r="V30" s="216"/>
      <c r="W30" s="98" t="s">
        <v>1367</v>
      </c>
      <c r="X30" s="200" t="s">
        <v>1361</v>
      </c>
      <c r="Y30" s="48">
        <v>0</v>
      </c>
      <c r="Z30" s="198">
        <f>SUM(AA4)</f>
        <v>15.86</v>
      </c>
      <c r="AA30" s="234">
        <f t="shared" ref="AA30:AA34" si="8">SUM(Y30:Z30)</f>
        <v>15.86</v>
      </c>
      <c r="AB30" s="216"/>
      <c r="AC30" s="98" t="s">
        <v>1367</v>
      </c>
      <c r="AD30" s="200" t="s">
        <v>1361</v>
      </c>
      <c r="AE30" s="198">
        <f>SUM(AF4)</f>
        <v>0</v>
      </c>
      <c r="AF30" s="205">
        <f t="shared" si="1"/>
        <v>0</v>
      </c>
      <c r="AG30" s="216"/>
      <c r="AH30" s="98" t="s">
        <v>1367</v>
      </c>
      <c r="AI30" s="200" t="s">
        <v>1361</v>
      </c>
      <c r="AJ30" s="48">
        <v>0</v>
      </c>
      <c r="AK30" s="198">
        <f>SUM(AL4)</f>
        <v>1159.9799999999998</v>
      </c>
      <c r="AL30" s="234">
        <f t="shared" ref="AL30:AL33" si="9">SUM(AJ30:AK30)</f>
        <v>1159.9799999999998</v>
      </c>
      <c r="AM30" s="216"/>
      <c r="AN30" s="98" t="s">
        <v>1367</v>
      </c>
      <c r="AO30" s="200" t="s">
        <v>1361</v>
      </c>
      <c r="AP30" s="48">
        <v>0</v>
      </c>
      <c r="AQ30" s="198">
        <f t="shared" ref="AQ30:AS31" si="10">SUM(AR4)</f>
        <v>82.22</v>
      </c>
      <c r="AR30" s="198">
        <f t="shared" si="10"/>
        <v>1128.2000000000003</v>
      </c>
      <c r="AS30" s="198">
        <f t="shared" si="10"/>
        <v>25.52</v>
      </c>
      <c r="AT30" s="205">
        <f t="shared" ref="AT30:AT34" si="11">SUM(AP30:AS30)</f>
        <v>1235.9400000000003</v>
      </c>
      <c r="AU30" s="216"/>
      <c r="AV30" s="98" t="s">
        <v>1367</v>
      </c>
      <c r="AW30" s="200" t="s">
        <v>1361</v>
      </c>
      <c r="AX30" s="48">
        <v>0</v>
      </c>
      <c r="AY30" s="205">
        <f t="shared" si="2"/>
        <v>0</v>
      </c>
      <c r="BA30" s="98" t="s">
        <v>1367</v>
      </c>
      <c r="BB30" s="200" t="s">
        <v>1361</v>
      </c>
      <c r="BC30" s="48">
        <v>0</v>
      </c>
      <c r="BD30" s="198">
        <f>SUM(BE4)</f>
        <v>106.63</v>
      </c>
      <c r="BE30" s="198">
        <f>SUM(BF4)</f>
        <v>28.019999999999996</v>
      </c>
      <c r="BF30" s="205">
        <f t="shared" ref="BF30:BF34" si="12">SUM(BC30:BE30)</f>
        <v>134.64999999999998</v>
      </c>
      <c r="BH30" s="98" t="s">
        <v>1367</v>
      </c>
      <c r="BI30" s="200" t="s">
        <v>1361</v>
      </c>
      <c r="BJ30" s="198">
        <f>SUM(BK4)</f>
        <v>0</v>
      </c>
      <c r="BK30" s="198">
        <f>SUM(BL4)</f>
        <v>0</v>
      </c>
      <c r="BL30" s="205">
        <f t="shared" si="3"/>
        <v>0</v>
      </c>
      <c r="BN30" s="98" t="s">
        <v>1367</v>
      </c>
      <c r="BO30" s="200" t="s">
        <v>1361</v>
      </c>
      <c r="BP30" s="198">
        <f>SUM(BQ4)</f>
        <v>0</v>
      </c>
      <c r="BQ30" s="205">
        <f>SUM(BP30)</f>
        <v>0</v>
      </c>
      <c r="BS30" s="98" t="s">
        <v>1367</v>
      </c>
      <c r="BT30" s="200" t="s">
        <v>1361</v>
      </c>
      <c r="BU30" s="198">
        <f>SUM(BV4)</f>
        <v>0</v>
      </c>
      <c r="BV30" s="205">
        <f>SUM(BU30)</f>
        <v>0</v>
      </c>
    </row>
    <row r="31" spans="1:74" ht="45">
      <c r="A31" s="800" t="s">
        <v>1363</v>
      </c>
      <c r="B31" s="48" t="s">
        <v>1365</v>
      </c>
      <c r="C31" s="198">
        <f ca="1">D5</f>
        <v>21.6</v>
      </c>
      <c r="D31" s="198">
        <f t="shared" ref="D31:F31" ca="1" si="13">E5</f>
        <v>0</v>
      </c>
      <c r="E31" s="198">
        <f t="shared" si="13"/>
        <v>46.6</v>
      </c>
      <c r="F31" s="198">
        <f t="shared" si="13"/>
        <v>0</v>
      </c>
      <c r="G31" s="205">
        <f t="shared" ca="1" si="0"/>
        <v>68.2</v>
      </c>
      <c r="H31" s="216"/>
      <c r="I31" s="253" t="s">
        <v>1363</v>
      </c>
      <c r="J31" s="48" t="s">
        <v>1365</v>
      </c>
      <c r="K31" s="48">
        <f ca="1">L5</f>
        <v>0</v>
      </c>
      <c r="L31" s="48">
        <f>M5</f>
        <v>32.78</v>
      </c>
      <c r="M31" s="48">
        <f>N5</f>
        <v>79.44</v>
      </c>
      <c r="N31" s="205">
        <f t="shared" ca="1" si="6"/>
        <v>112.22</v>
      </c>
      <c r="O31" s="216"/>
      <c r="P31" s="253" t="s">
        <v>1363</v>
      </c>
      <c r="Q31" s="48" t="s">
        <v>1365</v>
      </c>
      <c r="R31" s="48">
        <v>0</v>
      </c>
      <c r="S31" s="198">
        <f>SUM(T5)</f>
        <v>0</v>
      </c>
      <c r="T31" s="198">
        <f>SUM(U5)</f>
        <v>0</v>
      </c>
      <c r="U31" s="205">
        <f t="shared" si="7"/>
        <v>0</v>
      </c>
      <c r="V31" s="216"/>
      <c r="W31" s="253" t="s">
        <v>1363</v>
      </c>
      <c r="X31" s="48" t="s">
        <v>1365</v>
      </c>
      <c r="Y31" s="48">
        <v>0</v>
      </c>
      <c r="Z31" s="198">
        <f>SUM(AA5)</f>
        <v>0</v>
      </c>
      <c r="AA31" s="234">
        <f t="shared" si="8"/>
        <v>0</v>
      </c>
      <c r="AB31" s="216"/>
      <c r="AC31" s="253" t="s">
        <v>1363</v>
      </c>
      <c r="AD31" s="48" t="s">
        <v>1365</v>
      </c>
      <c r="AE31" s="198">
        <f>SUM(AF6)</f>
        <v>0</v>
      </c>
      <c r="AF31" s="205">
        <f t="shared" si="1"/>
        <v>0</v>
      </c>
      <c r="AG31" s="216"/>
      <c r="AH31" s="253" t="s">
        <v>1363</v>
      </c>
      <c r="AI31" s="48" t="s">
        <v>1365</v>
      </c>
      <c r="AJ31" s="48">
        <v>0</v>
      </c>
      <c r="AK31" s="198">
        <f>SUM(AL5)</f>
        <v>0</v>
      </c>
      <c r="AL31" s="234">
        <f t="shared" si="9"/>
        <v>0</v>
      </c>
      <c r="AM31" s="216"/>
      <c r="AN31" s="253" t="s">
        <v>1363</v>
      </c>
      <c r="AO31" s="48" t="s">
        <v>1365</v>
      </c>
      <c r="AP31" s="48">
        <v>0</v>
      </c>
      <c r="AQ31" s="198">
        <f t="shared" si="10"/>
        <v>0</v>
      </c>
      <c r="AR31" s="198">
        <f t="shared" si="10"/>
        <v>28.79</v>
      </c>
      <c r="AS31" s="198">
        <f t="shared" si="10"/>
        <v>12.76</v>
      </c>
      <c r="AT31" s="205">
        <f t="shared" si="11"/>
        <v>41.55</v>
      </c>
      <c r="AU31" s="216"/>
      <c r="AV31" s="253" t="s">
        <v>1363</v>
      </c>
      <c r="AW31" s="48" t="s">
        <v>1365</v>
      </c>
      <c r="AX31" s="48">
        <v>0</v>
      </c>
      <c r="AY31" s="205">
        <f t="shared" si="2"/>
        <v>0</v>
      </c>
      <c r="BA31" s="253" t="s">
        <v>1363</v>
      </c>
      <c r="BB31" s="48" t="s">
        <v>1365</v>
      </c>
      <c r="BC31" s="48">
        <v>0</v>
      </c>
      <c r="BD31" s="198">
        <f>SUM(BE5)</f>
        <v>44.13</v>
      </c>
      <c r="BE31" s="198">
        <f>SUM(BF5)</f>
        <v>0</v>
      </c>
      <c r="BF31" s="205">
        <f t="shared" si="12"/>
        <v>44.13</v>
      </c>
      <c r="BH31" s="253" t="s">
        <v>1363</v>
      </c>
      <c r="BI31" s="48" t="s">
        <v>1365</v>
      </c>
      <c r="BJ31" s="198">
        <f>SUM(BK5)</f>
        <v>0</v>
      </c>
      <c r="BK31" s="198">
        <f>SUM(BL5)</f>
        <v>0</v>
      </c>
      <c r="BL31" s="205">
        <f>SUM(BJ31:BK31)</f>
        <v>0</v>
      </c>
      <c r="BN31" s="792" t="s">
        <v>1363</v>
      </c>
      <c r="BO31" s="48" t="s">
        <v>1365</v>
      </c>
      <c r="BP31" s="198">
        <f>SUM(BQ5)</f>
        <v>0</v>
      </c>
      <c r="BQ31" s="205">
        <f>SUM(BP31)</f>
        <v>0</v>
      </c>
      <c r="BS31" s="792" t="s">
        <v>1363</v>
      </c>
      <c r="BT31" s="48" t="s">
        <v>1365</v>
      </c>
      <c r="BU31" s="198">
        <f>SUM(BV5)</f>
        <v>0</v>
      </c>
      <c r="BV31" s="205">
        <f>SUM(BU31)</f>
        <v>0</v>
      </c>
    </row>
    <row r="32" spans="1:74" ht="29.25" customHeight="1">
      <c r="A32" s="801"/>
      <c r="B32" s="48" t="s">
        <v>1366</v>
      </c>
      <c r="C32" s="198">
        <v>0</v>
      </c>
      <c r="D32" s="199">
        <v>0</v>
      </c>
      <c r="E32" s="198">
        <v>0</v>
      </c>
      <c r="F32" s="198">
        <v>0</v>
      </c>
      <c r="G32" s="205">
        <f t="shared" si="0"/>
        <v>0</v>
      </c>
      <c r="H32" s="216"/>
      <c r="I32" s="191"/>
      <c r="J32" s="48" t="s">
        <v>1366</v>
      </c>
      <c r="K32" s="48">
        <v>0</v>
      </c>
      <c r="L32" s="198">
        <v>0</v>
      </c>
      <c r="M32" s="198">
        <v>0</v>
      </c>
      <c r="N32" s="205">
        <f t="shared" si="6"/>
        <v>0</v>
      </c>
      <c r="O32" s="216"/>
      <c r="P32" s="191"/>
      <c r="Q32" s="48" t="s">
        <v>1366</v>
      </c>
      <c r="R32" s="48">
        <v>0</v>
      </c>
      <c r="S32" s="198">
        <v>0</v>
      </c>
      <c r="T32" s="198">
        <v>0</v>
      </c>
      <c r="U32" s="205">
        <f t="shared" si="7"/>
        <v>0</v>
      </c>
      <c r="V32" s="216"/>
      <c r="W32" s="191"/>
      <c r="X32" s="48" t="s">
        <v>1366</v>
      </c>
      <c r="Y32" s="48">
        <v>0</v>
      </c>
      <c r="Z32" s="198">
        <v>0</v>
      </c>
      <c r="AA32" s="234">
        <f t="shared" si="8"/>
        <v>0</v>
      </c>
      <c r="AB32" s="216"/>
      <c r="AC32" s="191"/>
      <c r="AD32" s="48" t="s">
        <v>1366</v>
      </c>
      <c r="AE32" s="198">
        <v>0</v>
      </c>
      <c r="AF32" s="205">
        <f t="shared" si="1"/>
        <v>0</v>
      </c>
      <c r="AG32" s="216"/>
      <c r="AH32" s="191"/>
      <c r="AI32" s="48" t="s">
        <v>1366</v>
      </c>
      <c r="AJ32" s="48">
        <v>0</v>
      </c>
      <c r="AK32" s="198">
        <v>0</v>
      </c>
      <c r="AL32" s="234">
        <f t="shared" si="9"/>
        <v>0</v>
      </c>
      <c r="AM32" s="216"/>
      <c r="AN32" s="191"/>
      <c r="AO32" s="48" t="s">
        <v>1366</v>
      </c>
      <c r="AP32" s="48">
        <v>0</v>
      </c>
      <c r="AQ32" s="198">
        <v>0</v>
      </c>
      <c r="AR32" s="198">
        <v>0</v>
      </c>
      <c r="AS32" s="198">
        <v>0</v>
      </c>
      <c r="AT32" s="205">
        <f t="shared" si="11"/>
        <v>0</v>
      </c>
      <c r="AU32" s="216"/>
      <c r="AV32" s="191"/>
      <c r="AW32" s="48" t="s">
        <v>1366</v>
      </c>
      <c r="AX32" s="48">
        <v>0</v>
      </c>
      <c r="AY32" s="205">
        <f t="shared" si="2"/>
        <v>0</v>
      </c>
      <c r="BA32" s="191"/>
      <c r="BB32" s="48" t="s">
        <v>1366</v>
      </c>
      <c r="BC32" s="48">
        <v>0</v>
      </c>
      <c r="BD32" s="198">
        <v>0</v>
      </c>
      <c r="BE32" s="198">
        <v>0</v>
      </c>
      <c r="BF32" s="205">
        <f t="shared" si="12"/>
        <v>0</v>
      </c>
      <c r="BH32" s="191"/>
      <c r="BI32" s="48" t="s">
        <v>1366</v>
      </c>
      <c r="BJ32" s="198">
        <v>0</v>
      </c>
      <c r="BK32" s="198">
        <v>0</v>
      </c>
      <c r="BL32" s="205">
        <f t="shared" si="3"/>
        <v>0</v>
      </c>
      <c r="BN32" s="794"/>
      <c r="BO32" s="48" t="s">
        <v>1366</v>
      </c>
      <c r="BP32" s="198">
        <v>0</v>
      </c>
      <c r="BQ32" s="205">
        <f t="shared" si="4"/>
        <v>0</v>
      </c>
      <c r="BS32" s="794"/>
      <c r="BT32" s="48" t="s">
        <v>1366</v>
      </c>
      <c r="BU32" s="198">
        <v>0</v>
      </c>
      <c r="BV32" s="205">
        <f t="shared" ref="BV32:BV34" si="14">SUM(BU32:BU32)</f>
        <v>0</v>
      </c>
    </row>
    <row r="33" spans="1:74">
      <c r="A33" s="797" t="s">
        <v>1368</v>
      </c>
      <c r="B33" s="48" t="s">
        <v>1365</v>
      </c>
      <c r="C33" s="198">
        <f ca="1">SUM(D6:D10)</f>
        <v>18.66</v>
      </c>
      <c r="D33" s="198">
        <f ca="1">SUM(E6:E10)</f>
        <v>26.98</v>
      </c>
      <c r="E33" s="198">
        <f>SUM(F6:F10)</f>
        <v>137.42000000000004</v>
      </c>
      <c r="F33" s="198">
        <f>SUM(G6:G10)</f>
        <v>13.5</v>
      </c>
      <c r="G33" s="205">
        <f t="shared" ca="1" si="0"/>
        <v>196.56000000000006</v>
      </c>
      <c r="H33" s="216"/>
      <c r="I33" s="254" t="s">
        <v>1368</v>
      </c>
      <c r="J33" s="48" t="s">
        <v>1365</v>
      </c>
      <c r="K33" s="48">
        <v>0</v>
      </c>
      <c r="L33" s="198">
        <f>SUM(M6:M10)</f>
        <v>150.28000000000003</v>
      </c>
      <c r="M33" s="198">
        <f>SUM(N6:N10)</f>
        <v>13.030000000000001</v>
      </c>
      <c r="N33" s="205">
        <f t="shared" si="6"/>
        <v>163.31000000000003</v>
      </c>
      <c r="O33" s="216"/>
      <c r="P33" s="254" t="s">
        <v>1368</v>
      </c>
      <c r="Q33" s="48" t="s">
        <v>1365</v>
      </c>
      <c r="R33" s="48">
        <v>0</v>
      </c>
      <c r="S33" s="198">
        <f>SUM(T6:T10)</f>
        <v>130.1</v>
      </c>
      <c r="T33" s="198">
        <f>SUM(U6:U10)</f>
        <v>26</v>
      </c>
      <c r="U33" s="205">
        <f t="shared" si="7"/>
        <v>156.1</v>
      </c>
      <c r="V33" s="216"/>
      <c r="W33" s="254" t="s">
        <v>1368</v>
      </c>
      <c r="X33" s="48" t="s">
        <v>1365</v>
      </c>
      <c r="Y33" s="48">
        <v>0</v>
      </c>
      <c r="Z33" s="198">
        <f>SUM(AA6:AA10)</f>
        <v>130.28</v>
      </c>
      <c r="AA33" s="234">
        <f t="shared" si="8"/>
        <v>130.28</v>
      </c>
      <c r="AB33" s="216"/>
      <c r="AC33" s="254" t="s">
        <v>1368</v>
      </c>
      <c r="AD33" s="48" t="s">
        <v>1365</v>
      </c>
      <c r="AE33" s="198">
        <f>SUM(AF7:AF11)</f>
        <v>175.99</v>
      </c>
      <c r="AF33" s="205">
        <f t="shared" si="1"/>
        <v>175.99</v>
      </c>
      <c r="AG33" s="216"/>
      <c r="AH33" s="254" t="s">
        <v>1368</v>
      </c>
      <c r="AI33" s="48" t="s">
        <v>1365</v>
      </c>
      <c r="AJ33" s="48">
        <v>0</v>
      </c>
      <c r="AK33" s="198">
        <f>SUM(AL6:AL10)</f>
        <v>189.66</v>
      </c>
      <c r="AL33" s="234">
        <f t="shared" si="9"/>
        <v>189.66</v>
      </c>
      <c r="AM33" s="216"/>
      <c r="AN33" s="254" t="s">
        <v>1368</v>
      </c>
      <c r="AO33" s="48" t="s">
        <v>1365</v>
      </c>
      <c r="AP33" s="48">
        <v>0</v>
      </c>
      <c r="AQ33" s="198">
        <f>SUM(AR6:AR10)</f>
        <v>0</v>
      </c>
      <c r="AR33" s="198">
        <f>SUM(AS6:AS10)</f>
        <v>194.58000000000004</v>
      </c>
      <c r="AS33" s="198">
        <f>SUM(AT6:AT10)</f>
        <v>25.779999999999998</v>
      </c>
      <c r="AT33" s="205">
        <f t="shared" si="11"/>
        <v>220.36000000000004</v>
      </c>
      <c r="AU33" s="216"/>
      <c r="AV33" s="254" t="s">
        <v>1368</v>
      </c>
      <c r="AW33" s="48" t="s">
        <v>1365</v>
      </c>
      <c r="AX33" s="48">
        <v>0</v>
      </c>
      <c r="AY33" s="205">
        <f t="shared" si="2"/>
        <v>0</v>
      </c>
      <c r="BA33" s="254" t="s">
        <v>1368</v>
      </c>
      <c r="BB33" s="48" t="s">
        <v>1365</v>
      </c>
      <c r="BC33" s="48">
        <v>0</v>
      </c>
      <c r="BD33" s="198">
        <f>SUM(BE6:BE10)</f>
        <v>261.94</v>
      </c>
      <c r="BE33" s="198">
        <f>SUM(BF6:BF10)</f>
        <v>26.11</v>
      </c>
      <c r="BF33" s="205">
        <f t="shared" si="12"/>
        <v>288.05</v>
      </c>
      <c r="BH33" s="254" t="s">
        <v>1368</v>
      </c>
      <c r="BI33" s="48" t="s">
        <v>1365</v>
      </c>
      <c r="BJ33" s="198">
        <f>SUM(BK6:BK10)</f>
        <v>39.61</v>
      </c>
      <c r="BK33" s="198">
        <f>SUM(BL6:BL10)</f>
        <v>39.61</v>
      </c>
      <c r="BL33" s="205">
        <f t="shared" si="3"/>
        <v>79.22</v>
      </c>
      <c r="BN33" s="638" t="s">
        <v>1368</v>
      </c>
      <c r="BO33" s="48" t="s">
        <v>1365</v>
      </c>
      <c r="BP33" s="198">
        <f>SUM(BQ6:BQ10)</f>
        <v>409.13999999999982</v>
      </c>
      <c r="BQ33" s="205">
        <f t="shared" si="4"/>
        <v>409.13999999999982</v>
      </c>
      <c r="BS33" s="638" t="s">
        <v>1368</v>
      </c>
      <c r="BT33" s="48" t="s">
        <v>1365</v>
      </c>
      <c r="BU33" s="198">
        <f>SUM(BV6:BV10)</f>
        <v>0</v>
      </c>
      <c r="BV33" s="205">
        <f t="shared" si="14"/>
        <v>0</v>
      </c>
    </row>
    <row r="34" spans="1:74">
      <c r="A34" s="797"/>
      <c r="B34" s="48" t="s">
        <v>1366</v>
      </c>
      <c r="C34" s="198">
        <v>0</v>
      </c>
      <c r="D34" s="199">
        <v>0</v>
      </c>
      <c r="E34" s="198">
        <v>0</v>
      </c>
      <c r="F34" s="198">
        <v>0</v>
      </c>
      <c r="G34" s="205">
        <v>0</v>
      </c>
      <c r="H34" s="216"/>
      <c r="I34" s="252"/>
      <c r="J34" s="48" t="s">
        <v>1366</v>
      </c>
      <c r="K34" s="48">
        <v>0</v>
      </c>
      <c r="L34" s="198">
        <v>0</v>
      </c>
      <c r="M34" s="198">
        <v>0</v>
      </c>
      <c r="N34" s="205">
        <f t="shared" si="6"/>
        <v>0</v>
      </c>
      <c r="O34" s="216"/>
      <c r="P34" s="252"/>
      <c r="Q34" s="48" t="s">
        <v>1366</v>
      </c>
      <c r="R34" s="48">
        <v>0</v>
      </c>
      <c r="S34" s="198">
        <v>0</v>
      </c>
      <c r="T34" s="198">
        <v>0</v>
      </c>
      <c r="U34" s="205">
        <f t="shared" si="7"/>
        <v>0</v>
      </c>
      <c r="V34" s="216"/>
      <c r="W34" s="252"/>
      <c r="X34" s="48" t="s">
        <v>1366</v>
      </c>
      <c r="Y34" s="48">
        <v>0</v>
      </c>
      <c r="Z34" s="198">
        <v>0</v>
      </c>
      <c r="AA34" s="234">
        <f t="shared" si="8"/>
        <v>0</v>
      </c>
      <c r="AB34" s="216"/>
      <c r="AC34" s="252"/>
      <c r="AD34" s="48" t="s">
        <v>1366</v>
      </c>
      <c r="AE34" s="198">
        <v>0</v>
      </c>
      <c r="AF34" s="205">
        <f t="shared" si="1"/>
        <v>0</v>
      </c>
      <c r="AG34" s="216"/>
      <c r="AH34" s="252"/>
      <c r="AI34" s="48" t="s">
        <v>1366</v>
      </c>
      <c r="AJ34" s="48">
        <v>0</v>
      </c>
      <c r="AK34" s="198">
        <v>0</v>
      </c>
      <c r="AL34" s="205">
        <f t="shared" ref="AL34:AL39" si="15">SUM(AJ34:AK34)</f>
        <v>0</v>
      </c>
      <c r="AM34" s="216"/>
      <c r="AN34" s="252"/>
      <c r="AO34" s="48" t="s">
        <v>1366</v>
      </c>
      <c r="AP34" s="48">
        <v>0</v>
      </c>
      <c r="AQ34" s="198">
        <v>0</v>
      </c>
      <c r="AR34" s="198">
        <v>0</v>
      </c>
      <c r="AS34" s="198">
        <v>0</v>
      </c>
      <c r="AT34" s="205">
        <f t="shared" si="11"/>
        <v>0</v>
      </c>
      <c r="AU34" s="216"/>
      <c r="AV34" s="252"/>
      <c r="AW34" s="48" t="s">
        <v>1366</v>
      </c>
      <c r="AX34" s="48">
        <v>0</v>
      </c>
      <c r="AY34" s="205">
        <f t="shared" si="2"/>
        <v>0</v>
      </c>
      <c r="BA34" s="252"/>
      <c r="BB34" s="48" t="s">
        <v>1366</v>
      </c>
      <c r="BC34" s="48">
        <v>0</v>
      </c>
      <c r="BD34" s="198">
        <v>0</v>
      </c>
      <c r="BE34" s="198">
        <v>0</v>
      </c>
      <c r="BF34" s="205">
        <f t="shared" si="12"/>
        <v>0</v>
      </c>
      <c r="BH34" s="252"/>
      <c r="BI34" s="48" t="s">
        <v>1366</v>
      </c>
      <c r="BJ34" s="198">
        <v>0</v>
      </c>
      <c r="BK34" s="198">
        <v>0</v>
      </c>
      <c r="BL34" s="205">
        <f t="shared" si="3"/>
        <v>0</v>
      </c>
      <c r="BN34" s="639"/>
      <c r="BO34" s="48" t="s">
        <v>1366</v>
      </c>
      <c r="BP34" s="198">
        <v>0</v>
      </c>
      <c r="BQ34" s="205">
        <f t="shared" si="4"/>
        <v>0</v>
      </c>
      <c r="BS34" s="639"/>
      <c r="BT34" s="48" t="s">
        <v>1366</v>
      </c>
      <c r="BU34" s="198">
        <v>0</v>
      </c>
      <c r="BV34" s="205">
        <f t="shared" si="14"/>
        <v>0</v>
      </c>
    </row>
    <row r="35" spans="1:74">
      <c r="A35" s="798" t="s">
        <v>1372</v>
      </c>
      <c r="B35" s="48" t="s">
        <v>1386</v>
      </c>
      <c r="C35" s="198">
        <v>0</v>
      </c>
      <c r="D35" s="198">
        <v>0</v>
      </c>
      <c r="E35" s="198">
        <v>0</v>
      </c>
      <c r="F35" s="198">
        <v>0</v>
      </c>
      <c r="G35" s="205">
        <v>0</v>
      </c>
      <c r="H35" s="216"/>
      <c r="I35" s="251" t="s">
        <v>1372</v>
      </c>
      <c r="J35" s="48" t="s">
        <v>1386</v>
      </c>
      <c r="K35" s="48">
        <v>0</v>
      </c>
      <c r="L35" s="198">
        <v>0</v>
      </c>
      <c r="M35" s="198">
        <v>0</v>
      </c>
      <c r="N35" s="205">
        <v>0</v>
      </c>
      <c r="O35" s="216"/>
      <c r="P35" s="251" t="s">
        <v>1372</v>
      </c>
      <c r="Q35" s="48" t="s">
        <v>1386</v>
      </c>
      <c r="R35" s="48">
        <v>0</v>
      </c>
      <c r="S35" s="198">
        <v>0</v>
      </c>
      <c r="T35" s="198">
        <v>0</v>
      </c>
      <c r="U35" s="205">
        <v>0</v>
      </c>
      <c r="V35" s="216"/>
      <c r="W35" s="251" t="s">
        <v>1372</v>
      </c>
      <c r="X35" s="48" t="s">
        <v>1386</v>
      </c>
      <c r="Y35" s="48">
        <v>0</v>
      </c>
      <c r="Z35" s="198">
        <v>0</v>
      </c>
      <c r="AA35" s="205">
        <v>0</v>
      </c>
      <c r="AB35" s="216"/>
      <c r="AC35" s="251" t="s">
        <v>1372</v>
      </c>
      <c r="AD35" s="48" t="s">
        <v>1386</v>
      </c>
      <c r="AE35" s="198">
        <v>0</v>
      </c>
      <c r="AF35" s="205">
        <v>0</v>
      </c>
      <c r="AG35" s="216"/>
      <c r="AH35" s="251" t="s">
        <v>1372</v>
      </c>
      <c r="AI35" s="48" t="s">
        <v>1386</v>
      </c>
      <c r="AJ35" s="48">
        <v>0</v>
      </c>
      <c r="AK35" s="198">
        <v>0</v>
      </c>
      <c r="AL35" s="205">
        <f t="shared" si="15"/>
        <v>0</v>
      </c>
      <c r="AM35" s="216"/>
      <c r="AN35" s="251" t="s">
        <v>1372</v>
      </c>
      <c r="AO35" s="48" t="s">
        <v>1386</v>
      </c>
      <c r="AP35" s="48">
        <v>0</v>
      </c>
      <c r="AQ35" s="198">
        <v>0</v>
      </c>
      <c r="AR35" s="198">
        <v>0</v>
      </c>
      <c r="AS35" s="198">
        <v>0</v>
      </c>
      <c r="AT35" s="205">
        <v>0</v>
      </c>
      <c r="AU35" s="216"/>
      <c r="AV35" s="251" t="s">
        <v>1372</v>
      </c>
      <c r="AW35" s="48" t="s">
        <v>1386</v>
      </c>
      <c r="AX35" s="48">
        <v>5943.48</v>
      </c>
      <c r="AY35" s="205">
        <f>AX35</f>
        <v>5943.48</v>
      </c>
      <c r="BA35" s="251" t="s">
        <v>1372</v>
      </c>
      <c r="BB35" s="48" t="s">
        <v>1386</v>
      </c>
      <c r="BC35" s="48">
        <v>0</v>
      </c>
      <c r="BD35" s="198">
        <v>0</v>
      </c>
      <c r="BE35" s="198">
        <v>0</v>
      </c>
      <c r="BF35" s="205">
        <v>0</v>
      </c>
      <c r="BH35" s="251" t="s">
        <v>1372</v>
      </c>
      <c r="BI35" s="48" t="s">
        <v>1386</v>
      </c>
      <c r="BJ35" s="198">
        <v>0</v>
      </c>
      <c r="BK35" s="198">
        <v>0</v>
      </c>
      <c r="BL35" s="205">
        <v>0</v>
      </c>
      <c r="BN35" s="638" t="s">
        <v>1372</v>
      </c>
      <c r="BO35" s="48" t="s">
        <v>1386</v>
      </c>
      <c r="BP35" s="198">
        <v>0</v>
      </c>
      <c r="BQ35" s="205">
        <v>0</v>
      </c>
      <c r="BS35" s="638" t="s">
        <v>1372</v>
      </c>
      <c r="BT35" s="48" t="s">
        <v>1386</v>
      </c>
      <c r="BU35" s="198">
        <v>4113.75</v>
      </c>
      <c r="BV35" s="205">
        <f t="shared" ref="BV35:BV36" si="16">BU35</f>
        <v>4113.75</v>
      </c>
    </row>
    <row r="36" spans="1:74">
      <c r="A36" s="798"/>
      <c r="B36" s="48" t="s">
        <v>1387</v>
      </c>
      <c r="C36" s="198">
        <v>0</v>
      </c>
      <c r="D36" s="198">
        <v>0</v>
      </c>
      <c r="E36" s="198">
        <v>0</v>
      </c>
      <c r="F36" s="198">
        <v>0</v>
      </c>
      <c r="G36" s="205">
        <v>0</v>
      </c>
      <c r="H36" s="216"/>
      <c r="I36" s="251"/>
      <c r="J36" s="48" t="s">
        <v>1387</v>
      </c>
      <c r="K36" s="48">
        <v>0</v>
      </c>
      <c r="L36" s="198">
        <v>0</v>
      </c>
      <c r="M36" s="198">
        <v>0</v>
      </c>
      <c r="N36" s="205">
        <v>0</v>
      </c>
      <c r="O36" s="216"/>
      <c r="P36" s="251"/>
      <c r="Q36" s="48" t="s">
        <v>1387</v>
      </c>
      <c r="R36" s="48">
        <v>0</v>
      </c>
      <c r="S36" s="198">
        <v>0</v>
      </c>
      <c r="T36" s="198">
        <v>0</v>
      </c>
      <c r="U36" s="205">
        <v>0</v>
      </c>
      <c r="V36" s="216"/>
      <c r="W36" s="251"/>
      <c r="X36" s="48" t="s">
        <v>1387</v>
      </c>
      <c r="Y36" s="48">
        <v>0</v>
      </c>
      <c r="Z36" s="198">
        <v>0</v>
      </c>
      <c r="AA36" s="205">
        <v>0</v>
      </c>
      <c r="AB36" s="216"/>
      <c r="AC36" s="251"/>
      <c r="AD36" s="48" t="s">
        <v>1387</v>
      </c>
      <c r="AE36" s="198">
        <v>0</v>
      </c>
      <c r="AF36" s="205">
        <v>0</v>
      </c>
      <c r="AG36" s="216"/>
      <c r="AH36" s="251"/>
      <c r="AI36" s="48" t="s">
        <v>1387</v>
      </c>
      <c r="AJ36" s="48">
        <v>0</v>
      </c>
      <c r="AK36" s="198">
        <v>0</v>
      </c>
      <c r="AL36" s="205">
        <f t="shared" si="15"/>
        <v>0</v>
      </c>
      <c r="AM36" s="216"/>
      <c r="AN36" s="251"/>
      <c r="AO36" s="48" t="s">
        <v>1387</v>
      </c>
      <c r="AP36" s="48">
        <v>0</v>
      </c>
      <c r="AQ36" s="198">
        <v>0</v>
      </c>
      <c r="AR36" s="198">
        <v>0</v>
      </c>
      <c r="AS36" s="198">
        <v>0</v>
      </c>
      <c r="AT36" s="205">
        <v>0</v>
      </c>
      <c r="AU36" s="216"/>
      <c r="AV36" s="251"/>
      <c r="AW36" s="48" t="s">
        <v>1387</v>
      </c>
      <c r="AX36" s="48">
        <v>396</v>
      </c>
      <c r="AY36" s="205">
        <f t="shared" ref="AY36:AY37" si="17">AX36</f>
        <v>396</v>
      </c>
      <c r="BA36" s="251"/>
      <c r="BB36" s="48" t="s">
        <v>1387</v>
      </c>
      <c r="BC36" s="48">
        <v>0</v>
      </c>
      <c r="BD36" s="198">
        <v>0</v>
      </c>
      <c r="BE36" s="198">
        <v>0</v>
      </c>
      <c r="BF36" s="205">
        <v>0</v>
      </c>
      <c r="BH36" s="251"/>
      <c r="BI36" s="48" t="s">
        <v>1387</v>
      </c>
      <c r="BJ36" s="198">
        <v>0</v>
      </c>
      <c r="BK36" s="198">
        <v>0</v>
      </c>
      <c r="BL36" s="205">
        <v>0</v>
      </c>
      <c r="BN36" s="796"/>
      <c r="BO36" s="48" t="s">
        <v>1387</v>
      </c>
      <c r="BP36" s="198">
        <v>0</v>
      </c>
      <c r="BQ36" s="205">
        <v>0</v>
      </c>
      <c r="BS36" s="796"/>
      <c r="BT36" s="48" t="s">
        <v>1387</v>
      </c>
      <c r="BU36" s="198">
        <v>207</v>
      </c>
      <c r="BV36" s="205">
        <f t="shared" si="16"/>
        <v>207</v>
      </c>
    </row>
    <row r="37" spans="1:74">
      <c r="A37" s="798"/>
      <c r="B37" s="48" t="s">
        <v>1388</v>
      </c>
      <c r="C37" s="198">
        <v>0</v>
      </c>
      <c r="D37" s="198">
        <v>0</v>
      </c>
      <c r="E37" s="198">
        <v>0</v>
      </c>
      <c r="F37" s="198">
        <v>0</v>
      </c>
      <c r="G37" s="205">
        <v>0</v>
      </c>
      <c r="H37" s="216"/>
      <c r="I37" s="251"/>
      <c r="J37" s="48" t="s">
        <v>1388</v>
      </c>
      <c r="K37" s="48"/>
      <c r="L37" s="198"/>
      <c r="M37" s="198"/>
      <c r="N37" s="205">
        <v>0</v>
      </c>
      <c r="O37" s="216"/>
      <c r="P37" s="251"/>
      <c r="Q37" s="48" t="s">
        <v>1388</v>
      </c>
      <c r="R37" s="48"/>
      <c r="S37" s="198"/>
      <c r="T37" s="198"/>
      <c r="U37" s="205">
        <v>0</v>
      </c>
      <c r="V37" s="216"/>
      <c r="W37" s="251"/>
      <c r="X37" s="48" t="s">
        <v>1388</v>
      </c>
      <c r="Y37" s="48">
        <v>0</v>
      </c>
      <c r="Z37" s="198">
        <v>0</v>
      </c>
      <c r="AA37" s="205">
        <v>0</v>
      </c>
      <c r="AB37" s="216"/>
      <c r="AC37" s="251"/>
      <c r="AD37" s="48" t="s">
        <v>1388</v>
      </c>
      <c r="AE37" s="198">
        <v>0</v>
      </c>
      <c r="AF37" s="205">
        <v>0</v>
      </c>
      <c r="AG37" s="216"/>
      <c r="AH37" s="251"/>
      <c r="AI37" s="48" t="s">
        <v>1388</v>
      </c>
      <c r="AJ37" s="48">
        <v>0</v>
      </c>
      <c r="AK37" s="198">
        <v>0</v>
      </c>
      <c r="AL37" s="205">
        <f t="shared" si="15"/>
        <v>0</v>
      </c>
      <c r="AM37" s="216"/>
      <c r="AN37" s="251"/>
      <c r="AO37" s="48" t="s">
        <v>1388</v>
      </c>
      <c r="AP37" s="48">
        <v>0</v>
      </c>
      <c r="AQ37" s="198">
        <v>0</v>
      </c>
      <c r="AR37" s="198">
        <v>0</v>
      </c>
      <c r="AS37" s="198">
        <v>0</v>
      </c>
      <c r="AT37" s="205">
        <v>0</v>
      </c>
      <c r="AU37" s="216"/>
      <c r="AV37" s="251"/>
      <c r="AW37" s="48" t="s">
        <v>1388</v>
      </c>
      <c r="AX37" s="48">
        <v>11</v>
      </c>
      <c r="AY37" s="205">
        <f t="shared" si="17"/>
        <v>11</v>
      </c>
      <c r="BA37" s="251"/>
      <c r="BB37" s="48" t="s">
        <v>1388</v>
      </c>
      <c r="BC37" s="48"/>
      <c r="BD37" s="198"/>
      <c r="BE37" s="198"/>
      <c r="BF37" s="205">
        <v>0</v>
      </c>
      <c r="BH37" s="251"/>
      <c r="BI37" s="48" t="s">
        <v>1388</v>
      </c>
      <c r="BJ37" s="198">
        <v>0</v>
      </c>
      <c r="BK37" s="198">
        <v>0</v>
      </c>
      <c r="BL37" s="205">
        <v>0</v>
      </c>
      <c r="BN37" s="796"/>
      <c r="BO37" s="48" t="s">
        <v>1388</v>
      </c>
      <c r="BP37" s="198">
        <v>0</v>
      </c>
      <c r="BQ37" s="205">
        <v>0</v>
      </c>
      <c r="BS37" s="796"/>
      <c r="BT37" s="48" t="s">
        <v>1388</v>
      </c>
      <c r="BU37" s="198">
        <v>26</v>
      </c>
      <c r="BV37" s="205">
        <f>BU37</f>
        <v>26</v>
      </c>
    </row>
    <row r="38" spans="1:74" ht="90">
      <c r="A38" s="799"/>
      <c r="B38" s="61" t="s">
        <v>1453</v>
      </c>
      <c r="C38" s="198">
        <f ca="1">SUM(D11:D13)</f>
        <v>321.90000000000003</v>
      </c>
      <c r="D38" s="198">
        <f ca="1">SUM(E11:E13)</f>
        <v>449.05</v>
      </c>
      <c r="E38" s="198">
        <f>SUM(F11:F13)</f>
        <v>302.08</v>
      </c>
      <c r="F38" s="198">
        <f>SUM(G11:G13)</f>
        <v>92.89</v>
      </c>
      <c r="G38" s="205">
        <f ca="1">SUM(C38:F38)</f>
        <v>1165.92</v>
      </c>
      <c r="H38" s="216"/>
      <c r="I38" s="252"/>
      <c r="J38" s="61" t="s">
        <v>1460</v>
      </c>
      <c r="K38" s="198">
        <f ca="1">SUM(L11:L13)</f>
        <v>511.1</v>
      </c>
      <c r="L38" s="198">
        <f>SUM(M11:M13)</f>
        <v>302.61</v>
      </c>
      <c r="M38" s="198">
        <f>SUM(N11:N13)</f>
        <v>92.37</v>
      </c>
      <c r="N38" s="205">
        <f t="shared" ca="1" si="6"/>
        <v>906.08</v>
      </c>
      <c r="O38" s="216"/>
      <c r="P38" s="252"/>
      <c r="Q38" s="61" t="s">
        <v>1459</v>
      </c>
      <c r="R38" s="198">
        <f>SUM(S11:S13)</f>
        <v>587.4</v>
      </c>
      <c r="S38" s="198">
        <f>SUM(T11:T13)</f>
        <v>337.34</v>
      </c>
      <c r="T38" s="198">
        <f>SUM(U11:U13)</f>
        <v>114.56</v>
      </c>
      <c r="U38" s="205">
        <f t="shared" ref="U38" si="18">SUM(R38:T38)</f>
        <v>1039.3</v>
      </c>
      <c r="V38" s="216"/>
      <c r="W38" s="252"/>
      <c r="X38" s="61" t="s">
        <v>1458</v>
      </c>
      <c r="Y38" s="198">
        <f>SUM(Z11:Z13)</f>
        <v>558.04999999999995</v>
      </c>
      <c r="Z38" s="198">
        <f>SUM(AA11:AA13)</f>
        <v>347.92</v>
      </c>
      <c r="AA38" s="234">
        <f t="shared" ref="AA38:AA39" si="19">SUM(Y38:Z38)</f>
        <v>905.97</v>
      </c>
      <c r="AB38" s="216"/>
      <c r="AC38" s="252"/>
      <c r="AD38" s="61" t="s">
        <v>1458</v>
      </c>
      <c r="AE38" s="198">
        <f>SUM(AF12:AF14)</f>
        <v>0</v>
      </c>
      <c r="AF38" s="205">
        <f>SUM(AE38:AE38)</f>
        <v>0</v>
      </c>
      <c r="AG38" s="216"/>
      <c r="AH38" s="252"/>
      <c r="AI38" s="230" t="s">
        <v>1457</v>
      </c>
      <c r="AJ38" s="198">
        <f>SUM(AK11:AK13)</f>
        <v>481.34</v>
      </c>
      <c r="AK38" s="198">
        <f>SUM(AL11:AL13)</f>
        <v>637.46</v>
      </c>
      <c r="AL38" s="205">
        <f t="shared" si="15"/>
        <v>1118.8</v>
      </c>
      <c r="AM38" s="216"/>
      <c r="AN38" s="252"/>
      <c r="AO38" s="250" t="s">
        <v>1456</v>
      </c>
      <c r="AP38" s="198">
        <f>SUM(AQ11:AQ13)</f>
        <v>460.23</v>
      </c>
      <c r="AQ38" s="198">
        <f>SUM(AR11:AR13)</f>
        <v>138.98000000000002</v>
      </c>
      <c r="AR38" s="198">
        <f>SUM(AS11:AS13)</f>
        <v>742.83</v>
      </c>
      <c r="AS38" s="198">
        <f>SUM(AT11:AT13)</f>
        <v>181.64</v>
      </c>
      <c r="AT38" s="205">
        <f t="shared" ref="AT38" si="20">SUM(AP38:AS38)</f>
        <v>1523.6799999999998</v>
      </c>
      <c r="AU38" s="216"/>
      <c r="AV38" s="252"/>
      <c r="AW38" s="250" t="s">
        <v>1456</v>
      </c>
      <c r="AX38" s="198">
        <f>SUM(AY11:AY13)</f>
        <v>0</v>
      </c>
      <c r="AY38" s="205">
        <f>SUM(AX38)</f>
        <v>0</v>
      </c>
      <c r="BA38" s="252"/>
      <c r="BB38" s="250" t="s">
        <v>1455</v>
      </c>
      <c r="BC38" s="198">
        <f>SUM(BD11:BD13)</f>
        <v>425.08000000000004</v>
      </c>
      <c r="BD38" s="198">
        <f>SUM(BE11:BE13)</f>
        <v>601.32000000000005</v>
      </c>
      <c r="BE38" s="198">
        <f>SUM(BF11:BF13)</f>
        <v>147.38999999999999</v>
      </c>
      <c r="BF38" s="205">
        <f t="shared" ref="BF38" si="21">SUM(BC38:BE38)</f>
        <v>1173.79</v>
      </c>
      <c r="BH38" s="252"/>
      <c r="BI38" s="250" t="s">
        <v>1454</v>
      </c>
      <c r="BJ38" s="198">
        <f>SUM(BK11:BK13)</f>
        <v>121.41</v>
      </c>
      <c r="BK38" s="198">
        <f>SUM(BL11:BL13)</f>
        <v>121.41</v>
      </c>
      <c r="BL38" s="205">
        <f t="shared" ref="BL38" si="22">SUM(BI38:BK38)</f>
        <v>242.82</v>
      </c>
      <c r="BN38" s="639"/>
      <c r="BO38" s="250" t="s">
        <v>1454</v>
      </c>
      <c r="BP38" s="198">
        <f>SUM(BQ11:BQ13)</f>
        <v>549.55999999999995</v>
      </c>
      <c r="BQ38" s="205">
        <f t="shared" ref="BQ38" si="23">SUM(BN38:BP38)</f>
        <v>549.55999999999995</v>
      </c>
      <c r="BS38" s="639"/>
      <c r="BT38" s="250" t="s">
        <v>1454</v>
      </c>
      <c r="BU38" s="198">
        <f>SUM(BV11:BV13)</f>
        <v>0</v>
      </c>
      <c r="BV38" s="205">
        <f t="shared" ref="BV38" si="24">SUM(BS38:BU38)</f>
        <v>0</v>
      </c>
    </row>
    <row r="39" spans="1:74">
      <c r="A39" s="96" t="s">
        <v>1373</v>
      </c>
      <c r="B39" s="48"/>
      <c r="C39" s="48">
        <f ca="1">SUM(D14:D25)</f>
        <v>0</v>
      </c>
      <c r="D39" s="48">
        <v>0</v>
      </c>
      <c r="E39" s="48">
        <f>SUM(F14:F25)</f>
        <v>765.12999999999988</v>
      </c>
      <c r="F39" s="48">
        <f>SUM(G14:G25)</f>
        <v>235.32</v>
      </c>
      <c r="G39" s="206">
        <f ca="1">SUM(C39:F39)</f>
        <v>1000.4499999999998</v>
      </c>
      <c r="H39" s="219"/>
      <c r="I39" s="96" t="s">
        <v>1373</v>
      </c>
      <c r="J39" s="48"/>
      <c r="K39" s="48">
        <v>0</v>
      </c>
      <c r="L39" s="48">
        <f>SUM(M14:M25)</f>
        <v>710.68000000000006</v>
      </c>
      <c r="M39" s="48">
        <f>SUM(N14:N25)</f>
        <v>353.38</v>
      </c>
      <c r="N39" s="205">
        <f t="shared" si="6"/>
        <v>1064.06</v>
      </c>
      <c r="O39" s="216"/>
      <c r="P39" s="96" t="s">
        <v>1373</v>
      </c>
      <c r="Q39" s="48"/>
      <c r="R39" s="48">
        <v>0</v>
      </c>
      <c r="S39" s="48">
        <f>SUM(T14:T25)</f>
        <v>706.17000000000007</v>
      </c>
      <c r="T39" s="48">
        <f>SUM(U14:U25)</f>
        <v>613.13</v>
      </c>
      <c r="U39" s="205">
        <f t="shared" ref="U39" si="25">SUM(R39:T39)</f>
        <v>1319.3000000000002</v>
      </c>
      <c r="V39" s="216"/>
      <c r="W39" s="96" t="s">
        <v>1373</v>
      </c>
      <c r="X39" s="48"/>
      <c r="Y39" s="48">
        <v>0</v>
      </c>
      <c r="Z39" s="48">
        <f>SUM(AA14:AA25)</f>
        <v>1299.4999999999995</v>
      </c>
      <c r="AA39" s="234">
        <f t="shared" si="19"/>
        <v>1299.4999999999995</v>
      </c>
      <c r="AB39" s="216"/>
      <c r="AC39" s="96" t="s">
        <v>1373</v>
      </c>
      <c r="AD39" s="48"/>
      <c r="AE39" s="48">
        <f>SUM(AF15:AF26)</f>
        <v>577.13</v>
      </c>
      <c r="AF39" s="205">
        <f>SUM(AE39:AE39)</f>
        <v>577.13</v>
      </c>
      <c r="AG39" s="216"/>
      <c r="AH39" s="96" t="s">
        <v>1373</v>
      </c>
      <c r="AI39" s="48"/>
      <c r="AJ39" s="48">
        <v>0</v>
      </c>
      <c r="AK39" s="48">
        <f>SUM(AL14:AL25)</f>
        <v>1079.5500000000002</v>
      </c>
      <c r="AL39" s="205">
        <f t="shared" si="15"/>
        <v>1079.5500000000002</v>
      </c>
      <c r="AM39" s="216"/>
      <c r="AN39" s="96" t="s">
        <v>1373</v>
      </c>
      <c r="AO39" s="48"/>
      <c r="AP39" s="48">
        <v>0</v>
      </c>
      <c r="AQ39" s="48">
        <f>SUM(AR14:AR25)</f>
        <v>555.5</v>
      </c>
      <c r="AR39" s="48">
        <f>SUM(AS14:AS25)</f>
        <v>1021.4800000000002</v>
      </c>
      <c r="AS39" s="48">
        <f>SUM(AT14:AT25)</f>
        <v>505.78999999999996</v>
      </c>
      <c r="AT39" s="205">
        <f t="shared" ref="AT39" si="26">SUM(AP39:AS39)</f>
        <v>2082.7700000000004</v>
      </c>
      <c r="AU39" s="216"/>
      <c r="AV39" s="96" t="s">
        <v>1373</v>
      </c>
      <c r="AW39" s="48"/>
      <c r="AX39" s="48">
        <v>0</v>
      </c>
      <c r="AY39" s="205">
        <f>SUM(AX39:AX39)</f>
        <v>0</v>
      </c>
      <c r="BA39" s="96" t="s">
        <v>1373</v>
      </c>
      <c r="BB39" s="48"/>
      <c r="BC39" s="48">
        <v>0</v>
      </c>
      <c r="BD39" s="48">
        <f>SUM(BE14:BE25)</f>
        <v>1958.29</v>
      </c>
      <c r="BE39" s="48">
        <f>SUM(BF14:BF25)</f>
        <v>544.84</v>
      </c>
      <c r="BF39" s="205">
        <f t="shared" ref="BF39" si="27">SUM(BC39:BE39)</f>
        <v>2503.13</v>
      </c>
      <c r="BH39" s="96" t="s">
        <v>1373</v>
      </c>
      <c r="BI39" s="48"/>
      <c r="BJ39" s="48">
        <f>SUM(BK14:BK25)</f>
        <v>551.46</v>
      </c>
      <c r="BK39" s="48">
        <f>SUM(BL14:BL25)</f>
        <v>551.46</v>
      </c>
      <c r="BL39" s="205">
        <f>SUM(BJ39:BK39)</f>
        <v>1102.92</v>
      </c>
      <c r="BN39" s="96" t="s">
        <v>1373</v>
      </c>
      <c r="BO39" s="48"/>
      <c r="BP39" s="48">
        <f>SUM(BQ14:BQ25)</f>
        <v>1799.1399999999974</v>
      </c>
      <c r="BQ39" s="205">
        <f>SUM(BP39:BP39)</f>
        <v>1799.1399999999974</v>
      </c>
      <c r="BS39" s="96" t="s">
        <v>1373</v>
      </c>
      <c r="BT39" s="48"/>
      <c r="BU39" s="48">
        <f>SUM(BV14:BV25)</f>
        <v>0</v>
      </c>
      <c r="BV39" s="205">
        <f>SUM(BU39:BU39)</f>
        <v>0</v>
      </c>
    </row>
    <row r="41" spans="1:74">
      <c r="C41">
        <f ca="1">SUM(C30,C31,C33,C38,C39)</f>
        <v>406.81000000000006</v>
      </c>
      <c r="D41">
        <f t="shared" ref="D41:G41" ca="1" si="28">SUM(D30,D31,D33,D38,D39)</f>
        <v>476.03000000000003</v>
      </c>
      <c r="E41">
        <f t="shared" si="28"/>
        <v>1294.9199999999998</v>
      </c>
      <c r="F41">
        <f t="shared" si="28"/>
        <v>341.71</v>
      </c>
      <c r="G41">
        <f t="shared" ca="1" si="28"/>
        <v>2519.4700000000003</v>
      </c>
      <c r="K41">
        <f ca="1">SUM(K30,K31,K33,K38,K39)</f>
        <v>511.1</v>
      </c>
      <c r="L41">
        <f t="shared" ref="L41:N41" si="29">SUM(L30,L31,L33,L38,L39)</f>
        <v>1305.45</v>
      </c>
      <c r="M41">
        <f t="shared" si="29"/>
        <v>565.42000000000007</v>
      </c>
      <c r="N41">
        <f t="shared" ca="1" si="29"/>
        <v>2381.9700000000003</v>
      </c>
      <c r="R41">
        <f>SUM(R30,R31,R33,R38,R39)</f>
        <v>587.4</v>
      </c>
      <c r="S41">
        <f>SUM(S30,S31,S33,S38,S39)</f>
        <v>1301.93</v>
      </c>
      <c r="T41">
        <f>SUM(T30,T31,T33,T38,T39)</f>
        <v>784.13</v>
      </c>
      <c r="U41">
        <f>SUM(U30,U31,U33,U38,U39)</f>
        <v>2673.46</v>
      </c>
      <c r="Y41">
        <f>SUM(Y30,Y31,Y33,Y38,Y39)</f>
        <v>558.04999999999995</v>
      </c>
      <c r="Z41">
        <f t="shared" ref="Z41" si="30">SUM(Z30,Z31,Z33,Z38,Z39)</f>
        <v>1793.5599999999995</v>
      </c>
      <c r="AA41">
        <f>SUM(AA30,AA31,AA33,AA38,AA39)</f>
        <v>2351.6099999999997</v>
      </c>
      <c r="AE41">
        <f>SUM(AE30,AE31,AE33,AE38,AE39)</f>
        <v>753.12</v>
      </c>
      <c r="AF41">
        <f>SUM(AF30,AF31,AF33,AF38,AF39)</f>
        <v>753.12</v>
      </c>
      <c r="AJ41">
        <f>SUM(AJ30,AJ31,AJ33,AJ38,AJ39)</f>
        <v>481.34</v>
      </c>
      <c r="AK41">
        <f t="shared" ref="AK41" si="31">SUM(AK30,AK31,AK33,AK38,AK39)</f>
        <v>3066.65</v>
      </c>
      <c r="AL41">
        <f>SUM(AL30,AL31,AL33,AL38,AL39)</f>
        <v>3547.99</v>
      </c>
      <c r="AP41">
        <f>SUM(AP30,AP31,AP33,AP38,AP39)</f>
        <v>460.23</v>
      </c>
      <c r="AQ41">
        <f>SUM(AQ30,AQ31,AQ33,AQ38,AQ39)</f>
        <v>776.7</v>
      </c>
      <c r="AR41">
        <f>SUM(AR30,AR31,AR33,AR38,AR39)</f>
        <v>3115.88</v>
      </c>
      <c r="AS41">
        <f t="shared" ref="AS41:AT41" si="32">SUM(AS30,AS31,AS33,AS38,AS39)</f>
        <v>751.49</v>
      </c>
      <c r="AT41">
        <f t="shared" si="32"/>
        <v>5104.3000000000011</v>
      </c>
      <c r="AX41">
        <f>SUM(AX30,AX31,AX33,AX38,AX39)</f>
        <v>0</v>
      </c>
      <c r="AY41">
        <f t="shared" ref="AY41" si="33">SUM(AY30,AY31,AY33,AY38,AY39)</f>
        <v>0</v>
      </c>
      <c r="BC41">
        <f>SUM(BC30,BC31,BC33,BC38,BC39)</f>
        <v>425.08000000000004</v>
      </c>
      <c r="BD41">
        <f t="shared" ref="BD41:BF41" si="34">SUM(BD30,BD31,BD33,BD38,BD39)</f>
        <v>2972.31</v>
      </c>
      <c r="BE41">
        <f t="shared" si="34"/>
        <v>746.36</v>
      </c>
      <c r="BF41">
        <f t="shared" si="34"/>
        <v>4143.75</v>
      </c>
      <c r="BJ41">
        <f>SUM(BJ30,BJ31,BJ33,BJ38,BJ39)</f>
        <v>712.48</v>
      </c>
      <c r="BK41">
        <f t="shared" ref="BK41:BL41" si="35">SUM(BK30,BK31,BK33,BK38,BK39)</f>
        <v>712.48</v>
      </c>
      <c r="BL41">
        <f t="shared" si="35"/>
        <v>1424.96</v>
      </c>
      <c r="BP41">
        <f>SUM(BP30,BP31,BP33,BP38,BP39)</f>
        <v>2757.8399999999974</v>
      </c>
      <c r="BQ41">
        <f>SUM(BQ30,BQ31,BQ33,BQ38,BQ39)</f>
        <v>2757.8399999999974</v>
      </c>
      <c r="BU41">
        <f>SUM(BU30,BU31,BU33,BU38,BU39)</f>
        <v>0</v>
      </c>
      <c r="BV41">
        <f>SUM(BV30,BV31,BV33,BV38,BV39)</f>
        <v>0</v>
      </c>
    </row>
    <row r="43" spans="1:74" s="207" customFormat="1"/>
    <row r="45" spans="1:74">
      <c r="A45" s="802" t="s">
        <v>1389</v>
      </c>
      <c r="B45" s="803"/>
      <c r="C45" s="803"/>
      <c r="D45" s="803"/>
      <c r="E45" s="803"/>
      <c r="F45" s="803"/>
      <c r="G45" s="803"/>
      <c r="H45" s="804"/>
      <c r="I45" s="238"/>
      <c r="J45" s="238"/>
      <c r="K45" s="238"/>
    </row>
    <row r="46" spans="1:74">
      <c r="B46" s="80"/>
      <c r="D46" s="788" t="s">
        <v>1390</v>
      </c>
      <c r="E46" s="788"/>
      <c r="F46" s="788"/>
      <c r="G46" s="80"/>
      <c r="H46" s="80"/>
      <c r="I46" s="80"/>
      <c r="J46" s="80"/>
      <c r="K46" s="80"/>
    </row>
    <row r="47" spans="1:74">
      <c r="B47" s="80"/>
      <c r="D47" s="787" t="s">
        <v>1391</v>
      </c>
      <c r="E47" s="787"/>
      <c r="F47" s="787"/>
      <c r="G47" s="80"/>
      <c r="H47" s="80"/>
      <c r="I47" s="80"/>
      <c r="J47" s="80"/>
      <c r="K47" s="80"/>
    </row>
    <row r="48" spans="1:74" ht="38.25">
      <c r="B48" s="202" t="s">
        <v>70</v>
      </c>
      <c r="D48" s="202" t="s">
        <v>1392</v>
      </c>
      <c r="E48" s="202" t="s">
        <v>1393</v>
      </c>
      <c r="F48" s="202" t="s">
        <v>1394</v>
      </c>
      <c r="G48" s="202" t="s">
        <v>1395</v>
      </c>
      <c r="H48" s="202" t="s">
        <v>1396</v>
      </c>
      <c r="J48" s="236"/>
      <c r="S48" s="2"/>
    </row>
    <row r="49" spans="1:19">
      <c r="A49" s="795" t="s">
        <v>1369</v>
      </c>
      <c r="B49" s="171" t="s">
        <v>564</v>
      </c>
      <c r="C49" s="64" t="s">
        <v>249</v>
      </c>
      <c r="D49" s="170">
        <f>SUM(E49,F49)</f>
        <v>0</v>
      </c>
      <c r="E49" s="170">
        <v>0</v>
      </c>
      <c r="F49" s="170">
        <v>0</v>
      </c>
      <c r="G49" s="18">
        <v>7</v>
      </c>
      <c r="H49" s="18">
        <v>0</v>
      </c>
      <c r="J49" s="3"/>
      <c r="K49" t="s">
        <v>1402</v>
      </c>
    </row>
    <row r="50" spans="1:19">
      <c r="A50" s="795"/>
      <c r="B50" s="171" t="s">
        <v>246</v>
      </c>
      <c r="C50" s="64" t="s">
        <v>249</v>
      </c>
      <c r="D50" s="170">
        <f>SUM(E50,F50)</f>
        <v>0</v>
      </c>
      <c r="E50" s="170">
        <v>0</v>
      </c>
      <c r="F50" s="170">
        <v>0</v>
      </c>
      <c r="G50" s="18">
        <f>2+1</f>
        <v>3</v>
      </c>
      <c r="H50" s="18">
        <v>0</v>
      </c>
      <c r="J50" s="3"/>
      <c r="K50" t="s">
        <v>1399</v>
      </c>
    </row>
    <row r="51" spans="1:19">
      <c r="A51" s="795"/>
      <c r="B51" s="171" t="s">
        <v>365</v>
      </c>
      <c r="C51" s="64" t="s">
        <v>249</v>
      </c>
      <c r="D51" s="12">
        <f ca="1">(E51+F51*0.5)</f>
        <v>12.5</v>
      </c>
      <c r="E51" s="12">
        <f ca="1">SUMIF('UFCA - JN'!$I$4:$L$58,C51,'UFCA - JN'!N4:N58)+4</f>
        <v>12</v>
      </c>
      <c r="F51" s="168">
        <v>1</v>
      </c>
      <c r="G51" s="18">
        <f t="shared" ref="G51:G52" si="36">2+1</f>
        <v>3</v>
      </c>
      <c r="H51" s="18">
        <v>0</v>
      </c>
      <c r="J51" s="3"/>
      <c r="K51" t="s">
        <v>1403</v>
      </c>
      <c r="L51" t="s">
        <v>1401</v>
      </c>
    </row>
    <row r="52" spans="1:19">
      <c r="A52" s="795"/>
      <c r="B52" s="171" t="s">
        <v>251</v>
      </c>
      <c r="C52" s="64" t="s">
        <v>249</v>
      </c>
      <c r="D52" s="12">
        <f ca="1">(E52+F52*0.5)</f>
        <v>0.5</v>
      </c>
      <c r="E52" s="18">
        <f ca="1">SUMIF('UFCA - JN'!$I$66:$L$78,C52,'UFCA - JN'!N66:N78)</f>
        <v>0</v>
      </c>
      <c r="F52" s="168">
        <v>1</v>
      </c>
      <c r="G52" s="18">
        <f t="shared" si="36"/>
        <v>3</v>
      </c>
      <c r="H52" s="18">
        <v>0</v>
      </c>
      <c r="J52" s="3"/>
      <c r="L52" t="s">
        <v>1401</v>
      </c>
      <c r="S52" s="2"/>
    </row>
    <row r="53" spans="1:19">
      <c r="C53" s="203" t="s">
        <v>563</v>
      </c>
      <c r="D53" s="204">
        <f ca="1">SUM(D49:D52)</f>
        <v>13</v>
      </c>
      <c r="E53" s="204">
        <f t="shared" ref="E53:G53" ca="1" si="37">SUM(E49:E52)</f>
        <v>12</v>
      </c>
      <c r="F53" s="204">
        <f t="shared" si="37"/>
        <v>2</v>
      </c>
      <c r="G53" s="204">
        <f t="shared" si="37"/>
        <v>16</v>
      </c>
      <c r="H53" s="204">
        <f>SUM(H49:H52)</f>
        <v>0</v>
      </c>
      <c r="J53" s="237"/>
      <c r="S53" s="2"/>
    </row>
    <row r="55" spans="1:19">
      <c r="B55" s="80"/>
      <c r="D55" s="795" t="s">
        <v>1390</v>
      </c>
      <c r="E55" s="795"/>
      <c r="F55" s="795"/>
      <c r="G55" s="80"/>
      <c r="H55" s="80"/>
      <c r="J55" s="80"/>
    </row>
    <row r="56" spans="1:19">
      <c r="B56" s="80"/>
      <c r="D56" s="787" t="s">
        <v>1391</v>
      </c>
      <c r="E56" s="787"/>
      <c r="F56" s="787"/>
      <c r="G56" s="80"/>
      <c r="H56" s="80"/>
      <c r="J56" s="80"/>
    </row>
    <row r="57" spans="1:19" ht="38.25">
      <c r="B57" s="202" t="s">
        <v>70</v>
      </c>
      <c r="D57" s="202" t="s">
        <v>1392</v>
      </c>
      <c r="E57" s="202" t="s">
        <v>1393</v>
      </c>
      <c r="F57" s="202" t="s">
        <v>1394</v>
      </c>
      <c r="G57" s="202" t="s">
        <v>1395</v>
      </c>
      <c r="H57" s="235" t="s">
        <v>1396</v>
      </c>
      <c r="J57" s="236"/>
    </row>
    <row r="58" spans="1:19">
      <c r="A58" s="795" t="s">
        <v>1374</v>
      </c>
      <c r="B58" s="171" t="s">
        <v>246</v>
      </c>
      <c r="C58" s="64" t="s">
        <v>249</v>
      </c>
      <c r="D58" s="208">
        <f>SUM(E58,F58)</f>
        <v>0</v>
      </c>
      <c r="E58" s="208">
        <v>0</v>
      </c>
      <c r="F58" s="208">
        <v>0</v>
      </c>
      <c r="G58" s="18">
        <f>1+1</f>
        <v>2</v>
      </c>
      <c r="H58" s="163">
        <v>0</v>
      </c>
      <c r="J58" s="3"/>
      <c r="K58" t="s">
        <v>1412</v>
      </c>
    </row>
    <row r="59" spans="1:19">
      <c r="A59" s="795"/>
      <c r="B59" s="171" t="s">
        <v>372</v>
      </c>
      <c r="C59" s="64" t="s">
        <v>249</v>
      </c>
      <c r="D59" s="16">
        <f>(E59+F59*0.5)</f>
        <v>21</v>
      </c>
      <c r="E59" s="12">
        <f>SUMIF('UFCA - JN'!$I$79:$I$124,C59,'UFCA - JN'!$N$79:$N$124)+2</f>
        <v>21</v>
      </c>
      <c r="F59" s="176">
        <v>0</v>
      </c>
      <c r="G59" s="18">
        <v>3</v>
      </c>
      <c r="H59" s="163">
        <v>0</v>
      </c>
      <c r="J59" s="3"/>
      <c r="K59" t="s">
        <v>1400</v>
      </c>
    </row>
    <row r="60" spans="1:19">
      <c r="A60" s="795"/>
      <c r="B60" s="171" t="s">
        <v>255</v>
      </c>
      <c r="C60" s="64" t="s">
        <v>249</v>
      </c>
      <c r="D60" s="16">
        <f>(E60+F60*0.5)</f>
        <v>0.5</v>
      </c>
      <c r="E60" s="12">
        <f>SUMIF('UFCA - JN'!$I$125:$I$144,C60,'UFCA - JN'!$N$125:$N$144)</f>
        <v>0</v>
      </c>
      <c r="F60" s="176">
        <v>1</v>
      </c>
      <c r="G60" s="18">
        <v>3</v>
      </c>
      <c r="H60" s="163">
        <v>0</v>
      </c>
      <c r="J60" s="3"/>
      <c r="L60" t="s">
        <v>1401</v>
      </c>
    </row>
    <row r="61" spans="1:19">
      <c r="C61" s="209" t="s">
        <v>563</v>
      </c>
      <c r="D61" s="210">
        <f>SUM(D58:D60)</f>
        <v>21.5</v>
      </c>
      <c r="E61" s="210">
        <f>SUM(E58:E60)</f>
        <v>21</v>
      </c>
      <c r="F61" s="210">
        <f>SUM(F58:F60)</f>
        <v>1</v>
      </c>
      <c r="G61" s="210">
        <f>SUM(G58:G60)</f>
        <v>8</v>
      </c>
      <c r="H61" s="210">
        <f>SUM(H58:H60)</f>
        <v>0</v>
      </c>
      <c r="J61" s="218"/>
    </row>
    <row r="63" spans="1:19">
      <c r="B63" s="80"/>
      <c r="D63" s="795" t="s">
        <v>1390</v>
      </c>
      <c r="E63" s="795"/>
      <c r="F63" s="795"/>
      <c r="G63" s="80"/>
      <c r="H63" s="80"/>
      <c r="J63" s="80"/>
    </row>
    <row r="64" spans="1:19">
      <c r="B64" s="80"/>
      <c r="D64" s="787" t="s">
        <v>1391</v>
      </c>
      <c r="E64" s="787"/>
      <c r="F64" s="787"/>
      <c r="G64" s="80"/>
      <c r="H64" s="80"/>
      <c r="J64" s="80"/>
    </row>
    <row r="65" spans="1:12" ht="38.25">
      <c r="B65" s="202" t="s">
        <v>70</v>
      </c>
      <c r="D65" s="202" t="s">
        <v>1392</v>
      </c>
      <c r="E65" s="202" t="s">
        <v>1393</v>
      </c>
      <c r="F65" s="202" t="s">
        <v>1394</v>
      </c>
      <c r="G65" s="202" t="s">
        <v>1395</v>
      </c>
      <c r="H65" s="235" t="s">
        <v>1396</v>
      </c>
      <c r="J65" s="236"/>
    </row>
    <row r="66" spans="1:12">
      <c r="A66" s="795" t="s">
        <v>1404</v>
      </c>
      <c r="B66" s="171" t="s">
        <v>246</v>
      </c>
      <c r="C66" s="64" t="s">
        <v>249</v>
      </c>
      <c r="D66" s="208">
        <f>SUM(E66,F66)</f>
        <v>0</v>
      </c>
      <c r="E66" s="208">
        <v>0</v>
      </c>
      <c r="F66" s="208">
        <v>0</v>
      </c>
      <c r="G66" s="13">
        <f>2+1</f>
        <v>3</v>
      </c>
      <c r="H66" s="163">
        <v>0</v>
      </c>
      <c r="J66" s="65"/>
      <c r="K66" t="s">
        <v>1422</v>
      </c>
    </row>
    <row r="67" spans="1:12">
      <c r="A67" s="795"/>
      <c r="B67" s="171" t="s">
        <v>375</v>
      </c>
      <c r="C67" s="64" t="s">
        <v>249</v>
      </c>
      <c r="D67" s="16">
        <f>(E67+F67*0.5)</f>
        <v>24.5</v>
      </c>
      <c r="E67" s="12">
        <f>SUMIF('UFCA - JN'!$I$146:$I$183,C67,'UFCA - JN'!$N$146:$N$183)+2</f>
        <v>24</v>
      </c>
      <c r="F67" s="176">
        <v>1</v>
      </c>
      <c r="G67" s="13">
        <v>3</v>
      </c>
      <c r="H67" s="163">
        <v>0</v>
      </c>
      <c r="J67" s="65"/>
      <c r="K67" t="s">
        <v>1400</v>
      </c>
      <c r="L67" t="s">
        <v>1401</v>
      </c>
    </row>
    <row r="68" spans="1:12">
      <c r="A68" s="795"/>
      <c r="B68" s="171" t="s">
        <v>260</v>
      </c>
      <c r="C68" s="64" t="s">
        <v>249</v>
      </c>
      <c r="D68" s="16">
        <f>(E68+F68*0.5)</f>
        <v>3</v>
      </c>
      <c r="E68" s="12">
        <f>SUMIF('UFCA - JN'!$I$184:$I$207,C68,'UFCA - JN'!N184:N207)</f>
        <v>3</v>
      </c>
      <c r="F68" s="176">
        <v>0</v>
      </c>
      <c r="G68" s="13">
        <v>3</v>
      </c>
      <c r="H68" s="163">
        <v>0</v>
      </c>
      <c r="J68" s="65"/>
    </row>
    <row r="69" spans="1:12">
      <c r="C69" s="209" t="s">
        <v>563</v>
      </c>
      <c r="D69" s="210">
        <f>SUM(D66:D68)</f>
        <v>27.5</v>
      </c>
      <c r="E69" s="210">
        <f>SUM(E66:E68)</f>
        <v>27</v>
      </c>
      <c r="F69" s="210">
        <f>SUM(F66:F68)</f>
        <v>1</v>
      </c>
      <c r="G69" s="210">
        <f>SUM(G66:G68)</f>
        <v>9</v>
      </c>
      <c r="H69" s="210">
        <f>SUM(H66:H68)</f>
        <v>0</v>
      </c>
      <c r="J69" s="218"/>
    </row>
    <row r="71" spans="1:12">
      <c r="B71" s="80"/>
      <c r="D71" s="795" t="s">
        <v>1390</v>
      </c>
      <c r="E71" s="795"/>
      <c r="F71" s="795"/>
      <c r="G71" s="80"/>
      <c r="H71" s="80"/>
      <c r="J71" s="80"/>
    </row>
    <row r="72" spans="1:12">
      <c r="B72" s="80"/>
      <c r="D72" s="787" t="s">
        <v>1391</v>
      </c>
      <c r="E72" s="787"/>
      <c r="F72" s="787"/>
      <c r="G72" s="80"/>
      <c r="H72" s="80"/>
      <c r="J72" s="80"/>
    </row>
    <row r="73" spans="1:12" ht="38.25">
      <c r="B73" s="202" t="s">
        <v>70</v>
      </c>
      <c r="D73" s="202" t="s">
        <v>1392</v>
      </c>
      <c r="E73" s="202" t="s">
        <v>1393</v>
      </c>
      <c r="F73" s="202" t="s">
        <v>1394</v>
      </c>
      <c r="G73" s="202" t="s">
        <v>1395</v>
      </c>
      <c r="H73" s="235" t="s">
        <v>1396</v>
      </c>
      <c r="J73" s="236"/>
    </row>
    <row r="74" spans="1:12">
      <c r="A74" s="795" t="s">
        <v>1517</v>
      </c>
      <c r="B74" s="171" t="s">
        <v>246</v>
      </c>
      <c r="C74" s="64" t="s">
        <v>249</v>
      </c>
      <c r="D74" s="208">
        <f>SUM(E74,F74)</f>
        <v>0</v>
      </c>
      <c r="E74" s="208">
        <v>0</v>
      </c>
      <c r="F74" s="208">
        <v>0</v>
      </c>
      <c r="G74" s="13">
        <f>2+1</f>
        <v>3</v>
      </c>
      <c r="H74" s="163">
        <v>0</v>
      </c>
      <c r="J74" s="65"/>
    </row>
    <row r="75" spans="1:12">
      <c r="A75" s="795"/>
      <c r="B75" s="171" t="s">
        <v>376</v>
      </c>
      <c r="C75" s="64" t="s">
        <v>249</v>
      </c>
      <c r="D75" s="16">
        <f>(E75+F75*0.5)</f>
        <v>4</v>
      </c>
      <c r="E75" s="18">
        <f>SUMIF('UFCA - JN'!$I$208:$I$244,C75,'UFCA - JN'!N208:N244)+1</f>
        <v>4</v>
      </c>
      <c r="F75" s="176">
        <v>0</v>
      </c>
      <c r="G75" s="13">
        <v>3</v>
      </c>
      <c r="H75" s="163">
        <v>0</v>
      </c>
      <c r="J75" s="65"/>
    </row>
    <row r="76" spans="1:12">
      <c r="C76" s="209" t="s">
        <v>563</v>
      </c>
      <c r="D76" s="210">
        <f>SUM(D74:D75)</f>
        <v>4</v>
      </c>
      <c r="E76" s="210">
        <f>SUM(E74:E75)</f>
        <v>4</v>
      </c>
      <c r="F76" s="210">
        <f>SUM(F74:F75)</f>
        <v>0</v>
      </c>
      <c r="G76" s="210">
        <f>SUM(G74:G75)</f>
        <v>6</v>
      </c>
      <c r="H76" s="210">
        <f>SUM(H74:H75)</f>
        <v>0</v>
      </c>
      <c r="J76" s="218"/>
    </row>
    <row r="77" spans="1:12">
      <c r="C77" s="217"/>
      <c r="D77" s="218"/>
      <c r="E77" s="218"/>
      <c r="F77" s="218"/>
      <c r="G77" s="218"/>
      <c r="H77" s="218"/>
      <c r="J77" s="218"/>
    </row>
    <row r="78" spans="1:12">
      <c r="B78" s="80"/>
      <c r="D78" s="795" t="s">
        <v>1390</v>
      </c>
      <c r="E78" s="795"/>
      <c r="F78" s="795"/>
      <c r="G78" s="80"/>
      <c r="H78" s="80"/>
      <c r="J78" s="218"/>
      <c r="K78" t="s">
        <v>1422</v>
      </c>
    </row>
    <row r="79" spans="1:12">
      <c r="B79" s="80"/>
      <c r="D79" s="787" t="s">
        <v>1391</v>
      </c>
      <c r="E79" s="787"/>
      <c r="F79" s="787"/>
      <c r="G79" s="80"/>
      <c r="H79" s="80"/>
      <c r="J79" s="218"/>
      <c r="K79" t="s">
        <v>1407</v>
      </c>
    </row>
    <row r="80" spans="1:12" ht="38.25">
      <c r="B80" s="202" t="s">
        <v>70</v>
      </c>
      <c r="D80" s="202" t="s">
        <v>1392</v>
      </c>
      <c r="E80" s="202" t="s">
        <v>1393</v>
      </c>
      <c r="F80" s="202" t="s">
        <v>1394</v>
      </c>
      <c r="G80" s="202" t="s">
        <v>1395</v>
      </c>
      <c r="H80" s="235" t="s">
        <v>1396</v>
      </c>
      <c r="J80" s="218"/>
    </row>
    <row r="81" spans="1:12">
      <c r="A81" s="90" t="s">
        <v>1518</v>
      </c>
      <c r="B81" s="171" t="s">
        <v>335</v>
      </c>
      <c r="C81" s="64" t="s">
        <v>249</v>
      </c>
      <c r="D81" s="16">
        <f>(E81+F81*0.5)</f>
        <v>1</v>
      </c>
      <c r="E81" s="12">
        <f>SUMIF('UFCA - JN'!$I$245:$I$268,C81,'UFCA - JN'!N253:N276)+1</f>
        <v>1</v>
      </c>
      <c r="F81" s="176">
        <v>0</v>
      </c>
      <c r="G81" s="13">
        <f>3+1</f>
        <v>4</v>
      </c>
      <c r="H81" s="163">
        <v>0</v>
      </c>
      <c r="J81" s="218"/>
    </row>
    <row r="82" spans="1:12">
      <c r="C82" s="209" t="s">
        <v>563</v>
      </c>
      <c r="D82" s="210">
        <f>SUM(D81:D81)</f>
        <v>1</v>
      </c>
      <c r="E82" s="210">
        <f>SUM(E81:E81)</f>
        <v>1</v>
      </c>
      <c r="F82" s="210">
        <f>SUM(F81:F81)</f>
        <v>0</v>
      </c>
      <c r="G82" s="210">
        <f>SUM(G81:G81)</f>
        <v>4</v>
      </c>
      <c r="H82" s="210">
        <f>SUM(H81:H81)</f>
        <v>0</v>
      </c>
      <c r="J82" s="218"/>
    </row>
    <row r="83" spans="1:12">
      <c r="C83" s="217"/>
      <c r="D83" s="218"/>
      <c r="E83" s="218"/>
      <c r="F83" s="218"/>
      <c r="G83" s="218"/>
      <c r="H83" s="218"/>
      <c r="J83" s="218"/>
    </row>
    <row r="84" spans="1:12">
      <c r="B84" s="80"/>
      <c r="D84" s="795" t="s">
        <v>1390</v>
      </c>
      <c r="E84" s="795"/>
      <c r="F84" s="795"/>
      <c r="G84" s="80"/>
      <c r="H84" s="80"/>
      <c r="J84" s="80"/>
    </row>
    <row r="85" spans="1:12">
      <c r="B85" s="80"/>
      <c r="D85" s="787" t="s">
        <v>1391</v>
      </c>
      <c r="E85" s="787"/>
      <c r="F85" s="787"/>
      <c r="G85" s="80"/>
      <c r="H85" s="80"/>
      <c r="J85" s="80"/>
    </row>
    <row r="86" spans="1:12" ht="38.25">
      <c r="B86" s="201" t="s">
        <v>70</v>
      </c>
      <c r="D86" s="202" t="s">
        <v>1392</v>
      </c>
      <c r="E86" s="202" t="s">
        <v>1393</v>
      </c>
      <c r="F86" s="202" t="s">
        <v>1394</v>
      </c>
      <c r="G86" s="202" t="s">
        <v>1395</v>
      </c>
      <c r="H86" s="235" t="s">
        <v>1396</v>
      </c>
      <c r="J86" s="236"/>
    </row>
    <row r="87" spans="1:12">
      <c r="A87" s="787" t="s">
        <v>1411</v>
      </c>
      <c r="B87" s="171" t="s">
        <v>246</v>
      </c>
      <c r="C87" s="64" t="s">
        <v>249</v>
      </c>
      <c r="D87" s="208">
        <f>SUM(E87,F87)</f>
        <v>0</v>
      </c>
      <c r="E87" s="208">
        <v>0</v>
      </c>
      <c r="F87" s="208">
        <v>0</v>
      </c>
      <c r="G87" s="13">
        <f>3+1</f>
        <v>4</v>
      </c>
      <c r="H87" s="163">
        <v>0</v>
      </c>
      <c r="J87" s="65"/>
      <c r="K87" t="s">
        <v>1423</v>
      </c>
    </row>
    <row r="88" spans="1:12">
      <c r="A88" s="788"/>
      <c r="B88" s="171" t="s">
        <v>387</v>
      </c>
      <c r="C88" s="64" t="s">
        <v>249</v>
      </c>
      <c r="D88" s="16">
        <f>(E88+F88*0.5)</f>
        <v>225.5</v>
      </c>
      <c r="E88" s="12">
        <f>SUMIF('UFCA - JN'!$I$269:$I$338,C88,'UFCA - JN'!$N$269:$N$338)+23</f>
        <v>216</v>
      </c>
      <c r="F88" s="176">
        <v>19</v>
      </c>
      <c r="G88" s="13">
        <f>6+1</f>
        <v>7</v>
      </c>
      <c r="H88" s="163">
        <v>0</v>
      </c>
      <c r="J88" s="65"/>
      <c r="K88" t="s">
        <v>1424</v>
      </c>
      <c r="L88" t="s">
        <v>1417</v>
      </c>
    </row>
    <row r="89" spans="1:12">
      <c r="A89" s="238"/>
      <c r="J89" s="65"/>
    </row>
    <row r="90" spans="1:12">
      <c r="C90" s="209" t="s">
        <v>563</v>
      </c>
      <c r="D90" s="210">
        <f>SUM(D87:D88)</f>
        <v>225.5</v>
      </c>
      <c r="E90" s="210">
        <f>SUM(E87:E88)</f>
        <v>216</v>
      </c>
      <c r="F90" s="210">
        <f>SUM(F87:F88)</f>
        <v>19</v>
      </c>
      <c r="G90" s="210">
        <f>SUM(G87:G88)</f>
        <v>11</v>
      </c>
      <c r="H90" s="210">
        <f>SUM(H87:H88)</f>
        <v>0</v>
      </c>
      <c r="J90" s="218"/>
    </row>
    <row r="92" spans="1:12">
      <c r="B92" s="80"/>
      <c r="D92" s="795" t="s">
        <v>1390</v>
      </c>
      <c r="E92" s="795"/>
      <c r="F92" s="795"/>
      <c r="G92" s="80"/>
      <c r="H92" s="80"/>
      <c r="J92" s="80"/>
    </row>
    <row r="93" spans="1:12">
      <c r="B93" s="80"/>
      <c r="D93" s="787" t="s">
        <v>1391</v>
      </c>
      <c r="E93" s="787"/>
      <c r="F93" s="787"/>
      <c r="G93" s="80"/>
      <c r="H93" s="80"/>
      <c r="J93" s="80"/>
    </row>
    <row r="94" spans="1:12" ht="38.25">
      <c r="B94" s="201" t="s">
        <v>70</v>
      </c>
      <c r="D94" s="202" t="s">
        <v>1392</v>
      </c>
      <c r="E94" s="202" t="s">
        <v>1393</v>
      </c>
      <c r="F94" s="202" t="s">
        <v>1394</v>
      </c>
      <c r="G94" s="202" t="s">
        <v>1395</v>
      </c>
      <c r="H94" s="235" t="s">
        <v>1396</v>
      </c>
      <c r="J94" s="236"/>
    </row>
    <row r="95" spans="1:12">
      <c r="A95" s="795" t="s">
        <v>1416</v>
      </c>
      <c r="B95" s="171" t="s">
        <v>246</v>
      </c>
      <c r="C95" s="64" t="s">
        <v>249</v>
      </c>
      <c r="D95" s="208">
        <f>SUM(E95,F95)</f>
        <v>0</v>
      </c>
      <c r="E95" s="208">
        <v>0</v>
      </c>
      <c r="F95" s="208">
        <v>0</v>
      </c>
      <c r="G95" s="13">
        <f>3+1</f>
        <v>4</v>
      </c>
      <c r="H95" s="163">
        <v>0</v>
      </c>
      <c r="J95" s="65"/>
      <c r="K95" s="213" t="s">
        <v>1423</v>
      </c>
    </row>
    <row r="96" spans="1:12">
      <c r="A96" s="795"/>
      <c r="B96" s="171" t="s">
        <v>359</v>
      </c>
      <c r="C96" s="64" t="s">
        <v>249</v>
      </c>
      <c r="D96" s="16">
        <f>(E96+F96*0.5)</f>
        <v>16</v>
      </c>
      <c r="E96" s="12">
        <f>SUMIF('UFCA - JN'!$I$339:$I$347,C96,'UFCA - JN'!$N$339:$N$347)+2</f>
        <v>16</v>
      </c>
      <c r="F96" s="176">
        <v>0</v>
      </c>
      <c r="G96" s="13">
        <v>2</v>
      </c>
      <c r="H96" s="163">
        <v>0</v>
      </c>
      <c r="J96" s="65"/>
      <c r="K96" t="s">
        <v>1418</v>
      </c>
    </row>
    <row r="97" spans="1:12">
      <c r="A97" s="795"/>
      <c r="B97" s="171" t="s">
        <v>398</v>
      </c>
      <c r="C97" s="64" t="s">
        <v>249</v>
      </c>
      <c r="D97" s="16">
        <f>(E97+F97*0.5)</f>
        <v>294</v>
      </c>
      <c r="E97" s="12">
        <f>SUMIF('UFCA - JN'!$I$348:$I$423,C97,'UFCA - JN'!$N$348:$N$423)+16</f>
        <v>294</v>
      </c>
      <c r="F97" s="176">
        <v>0</v>
      </c>
      <c r="G97" s="13">
        <f>6+1</f>
        <v>7</v>
      </c>
      <c r="H97" s="163">
        <v>0</v>
      </c>
      <c r="J97" s="65"/>
      <c r="K97" s="213" t="s">
        <v>1413</v>
      </c>
      <c r="L97" s="212"/>
    </row>
    <row r="98" spans="1:12">
      <c r="A98" s="795"/>
      <c r="B98" s="171" t="s">
        <v>444</v>
      </c>
      <c r="C98" s="64" t="s">
        <v>249</v>
      </c>
      <c r="D98" s="16">
        <f>(E98+F98*0.5)</f>
        <v>15</v>
      </c>
      <c r="E98" s="12">
        <f>SUMIF('UFCA - JN'!$I$424:$I$448,C98,'UFCA - JN'!$N$424:$N$448)</f>
        <v>4</v>
      </c>
      <c r="F98" s="176">
        <v>22</v>
      </c>
      <c r="G98" s="13">
        <f>3+1</f>
        <v>4</v>
      </c>
      <c r="H98" s="163">
        <v>0</v>
      </c>
      <c r="J98" s="65"/>
      <c r="K98" s="212"/>
      <c r="L98" s="213" t="s">
        <v>1421</v>
      </c>
    </row>
    <row r="99" spans="1:12">
      <c r="C99" s="209" t="s">
        <v>563</v>
      </c>
      <c r="D99" s="210">
        <f>SUM(D95:D98)</f>
        <v>325</v>
      </c>
      <c r="E99" s="210">
        <f>SUM(E95:E98)</f>
        <v>314</v>
      </c>
      <c r="F99" s="210">
        <f>SUM(F95:F98)</f>
        <v>22</v>
      </c>
      <c r="G99" s="210">
        <f>SUM(G95:G98)</f>
        <v>17</v>
      </c>
      <c r="H99" s="210">
        <f>SUM(H95:H98)</f>
        <v>0</v>
      </c>
      <c r="J99" s="218"/>
    </row>
    <row r="100" spans="1:12">
      <c r="C100" s="217"/>
      <c r="D100" s="218"/>
      <c r="E100" s="218"/>
      <c r="F100" s="218"/>
      <c r="G100" s="218"/>
      <c r="H100" s="218"/>
      <c r="J100" s="218"/>
    </row>
    <row r="101" spans="1:12">
      <c r="B101" s="80"/>
      <c r="D101" s="795" t="s">
        <v>1390</v>
      </c>
      <c r="E101" s="795"/>
      <c r="F101" s="795"/>
      <c r="G101" s="80"/>
      <c r="H101" s="80"/>
      <c r="J101" s="218"/>
    </row>
    <row r="102" spans="1:12">
      <c r="B102" s="80"/>
      <c r="D102" s="787" t="s">
        <v>1391</v>
      </c>
      <c r="E102" s="787"/>
      <c r="F102" s="787"/>
      <c r="G102" s="80"/>
      <c r="H102" s="80"/>
      <c r="J102" s="218"/>
    </row>
    <row r="103" spans="1:12" ht="38.25">
      <c r="B103" s="201" t="s">
        <v>70</v>
      </c>
      <c r="D103" s="202" t="s">
        <v>1392</v>
      </c>
      <c r="E103" s="202" t="s">
        <v>1393</v>
      </c>
      <c r="F103" s="202" t="s">
        <v>1394</v>
      </c>
      <c r="G103" s="202" t="s">
        <v>1395</v>
      </c>
      <c r="H103" s="235" t="s">
        <v>1396</v>
      </c>
      <c r="J103" s="218"/>
    </row>
    <row r="104" spans="1:12">
      <c r="A104" s="90" t="s">
        <v>1498</v>
      </c>
      <c r="B104" s="171"/>
      <c r="C104" s="64" t="s">
        <v>249</v>
      </c>
      <c r="D104" s="208">
        <f>SUM(E104,F104)</f>
        <v>0</v>
      </c>
      <c r="E104" s="208">
        <v>0</v>
      </c>
      <c r="F104" s="208">
        <v>0</v>
      </c>
      <c r="G104" s="13">
        <v>2</v>
      </c>
      <c r="H104" s="163">
        <v>0</v>
      </c>
      <c r="J104" s="218"/>
    </row>
    <row r="105" spans="1:12">
      <c r="C105" s="209" t="s">
        <v>563</v>
      </c>
      <c r="D105" s="210">
        <f>SUM(D104:D104)</f>
        <v>0</v>
      </c>
      <c r="E105" s="210">
        <f>SUM(E104:E104)</f>
        <v>0</v>
      </c>
      <c r="F105" s="210">
        <f>SUM(F104:F104)</f>
        <v>0</v>
      </c>
      <c r="G105" s="210">
        <f>SUM(G104:G104)</f>
        <v>2</v>
      </c>
      <c r="H105" s="210">
        <f>SUM(H104:H104)</f>
        <v>0</v>
      </c>
      <c r="J105" s="218"/>
    </row>
    <row r="106" spans="1:12">
      <c r="C106" s="217"/>
      <c r="D106" s="218"/>
      <c r="E106" s="218"/>
      <c r="F106" s="218"/>
      <c r="G106" s="218"/>
      <c r="H106" s="218"/>
      <c r="J106" s="218"/>
    </row>
    <row r="107" spans="1:12">
      <c r="C107" s="217"/>
      <c r="D107" s="218"/>
      <c r="E107" s="218"/>
      <c r="F107" s="218"/>
      <c r="G107" s="218"/>
      <c r="H107" s="218"/>
      <c r="J107" s="218"/>
    </row>
    <row r="109" spans="1:12">
      <c r="B109" s="80"/>
      <c r="D109" s="795" t="s">
        <v>1390</v>
      </c>
      <c r="E109" s="795"/>
      <c r="F109" s="795"/>
      <c r="G109" s="80"/>
      <c r="H109" s="80"/>
      <c r="J109" s="80"/>
    </row>
    <row r="110" spans="1:12">
      <c r="B110" s="80"/>
      <c r="D110" s="787" t="s">
        <v>1391</v>
      </c>
      <c r="E110" s="787"/>
      <c r="F110" s="787"/>
      <c r="G110" s="80"/>
      <c r="H110" s="80"/>
      <c r="J110" s="80"/>
    </row>
    <row r="111" spans="1:12" ht="38.25">
      <c r="B111" s="201" t="s">
        <v>70</v>
      </c>
      <c r="D111" s="202" t="s">
        <v>1392</v>
      </c>
      <c r="E111" s="202" t="s">
        <v>1393</v>
      </c>
      <c r="F111" s="202" t="s">
        <v>1394</v>
      </c>
      <c r="G111" s="202" t="s">
        <v>1395</v>
      </c>
      <c r="H111" s="235" t="s">
        <v>1396</v>
      </c>
      <c r="J111" s="236"/>
    </row>
    <row r="112" spans="1:12">
      <c r="A112" s="795" t="s">
        <v>1425</v>
      </c>
      <c r="B112" s="171" t="s">
        <v>246</v>
      </c>
      <c r="C112" s="64" t="s">
        <v>249</v>
      </c>
      <c r="D112" s="208">
        <f>SUM(E112,F112)</f>
        <v>0</v>
      </c>
      <c r="E112" s="208">
        <v>0</v>
      </c>
      <c r="F112" s="208">
        <v>0</v>
      </c>
      <c r="G112" s="13">
        <f>3+1</f>
        <v>4</v>
      </c>
      <c r="H112" s="163">
        <v>0</v>
      </c>
      <c r="J112" s="65"/>
      <c r="K112" s="213" t="s">
        <v>1423</v>
      </c>
      <c r="L112" s="212"/>
    </row>
    <row r="113" spans="1:18">
      <c r="A113" s="795"/>
      <c r="B113" s="171" t="s">
        <v>511</v>
      </c>
      <c r="C113" s="64" t="s">
        <v>249</v>
      </c>
      <c r="D113" s="16">
        <f>(E113+F113*0.5)</f>
        <v>8</v>
      </c>
      <c r="E113" s="12">
        <f>SUMIF('UFCA - JN'!$I$449:$I$549,C113,'UFCA - JN'!$N$449:$N$549)+1</f>
        <v>8</v>
      </c>
      <c r="F113" s="176">
        <v>0</v>
      </c>
      <c r="G113" s="13">
        <f>6+1</f>
        <v>7</v>
      </c>
      <c r="H113" s="163">
        <v>0</v>
      </c>
      <c r="J113" s="65"/>
      <c r="K113" s="213" t="s">
        <v>1400</v>
      </c>
      <c r="L113" s="212"/>
    </row>
    <row r="114" spans="1:18">
      <c r="A114" s="795"/>
      <c r="B114" s="171" t="s">
        <v>512</v>
      </c>
      <c r="C114" s="64" t="s">
        <v>249</v>
      </c>
      <c r="D114" s="16">
        <f>(E114+F114*0.5)</f>
        <v>2</v>
      </c>
      <c r="E114" s="12">
        <f>SUMIF('UFCA - JN'!$I$424:$I$448,C114,'UFCA - JN'!N550:N577)</f>
        <v>2</v>
      </c>
      <c r="F114" s="176">
        <v>0</v>
      </c>
      <c r="G114" s="13">
        <f>3+1</f>
        <v>4</v>
      </c>
      <c r="H114" s="163">
        <v>0</v>
      </c>
      <c r="J114" s="65"/>
      <c r="K114" s="212"/>
      <c r="L114" s="212"/>
    </row>
    <row r="115" spans="1:18">
      <c r="C115" s="209" t="s">
        <v>563</v>
      </c>
      <c r="D115" s="210">
        <f>SUM(D112:D114)</f>
        <v>10</v>
      </c>
      <c r="E115" s="210">
        <f>SUM(E112:E114)</f>
        <v>10</v>
      </c>
      <c r="F115" s="210">
        <f>SUM(F112:F114)</f>
        <v>0</v>
      </c>
      <c r="G115" s="210">
        <f>SUM(G112:G114)</f>
        <v>15</v>
      </c>
      <c r="H115" s="210">
        <f>SUM(H112:H114)</f>
        <v>0</v>
      </c>
      <c r="J115" s="218"/>
    </row>
    <row r="116" spans="1:18">
      <c r="R116" s="2"/>
    </row>
    <row r="117" spans="1:18">
      <c r="B117" s="80"/>
      <c r="D117" s="795" t="s">
        <v>1390</v>
      </c>
      <c r="E117" s="795"/>
      <c r="F117" s="795"/>
      <c r="G117" s="80"/>
      <c r="H117" s="80"/>
      <c r="J117" s="80"/>
    </row>
    <row r="118" spans="1:18">
      <c r="B118" s="80"/>
      <c r="D118" s="787" t="s">
        <v>1391</v>
      </c>
      <c r="E118" s="787"/>
      <c r="F118" s="787"/>
      <c r="G118" s="80"/>
      <c r="H118" s="80"/>
      <c r="J118" s="80"/>
    </row>
    <row r="119" spans="1:18" ht="38.25">
      <c r="B119" s="214" t="s">
        <v>70</v>
      </c>
      <c r="D119" s="202" t="s">
        <v>1392</v>
      </c>
      <c r="E119" s="202" t="s">
        <v>1393</v>
      </c>
      <c r="F119" s="202" t="s">
        <v>1394</v>
      </c>
      <c r="G119" s="202" t="s">
        <v>1395</v>
      </c>
      <c r="H119" s="235" t="s">
        <v>1396</v>
      </c>
      <c r="J119" s="236"/>
    </row>
    <row r="120" spans="1:18">
      <c r="A120" s="795" t="s">
        <v>1428</v>
      </c>
      <c r="B120" s="171" t="s">
        <v>1429</v>
      </c>
      <c r="C120" s="48"/>
      <c r="D120" s="16">
        <f>(E120+F120*0.5)</f>
        <v>0</v>
      </c>
      <c r="E120" s="12">
        <f>SUMIF('UFCA - JN'!$I$761:$I$769,C120,'UFCA - JN'!N761:N769)</f>
        <v>0</v>
      </c>
      <c r="F120" s="176">
        <v>0</v>
      </c>
      <c r="G120" s="13">
        <f>1+1</f>
        <v>2</v>
      </c>
      <c r="H120" s="163">
        <v>0</v>
      </c>
      <c r="J120" s="65"/>
    </row>
    <row r="121" spans="1:18">
      <c r="A121" s="795"/>
      <c r="B121" s="171" t="s">
        <v>1219</v>
      </c>
      <c r="C121" s="64" t="s">
        <v>249</v>
      </c>
      <c r="D121" s="16">
        <f>(E121+F121*0.5)</f>
        <v>0</v>
      </c>
      <c r="E121" s="12">
        <f>SUMIF('UFCA - JN'!$I$761:$I$769,C121,'UFCA - JN'!N761:N770)</f>
        <v>0</v>
      </c>
      <c r="F121" s="176">
        <v>0</v>
      </c>
      <c r="G121" s="13">
        <f>2+1</f>
        <v>3</v>
      </c>
      <c r="H121" s="163">
        <v>0</v>
      </c>
      <c r="J121" s="65"/>
      <c r="K121" s="213" t="s">
        <v>1447</v>
      </c>
    </row>
    <row r="122" spans="1:18">
      <c r="A122" s="795"/>
      <c r="B122" s="171" t="s">
        <v>1220</v>
      </c>
      <c r="C122" s="64" t="s">
        <v>249</v>
      </c>
      <c r="D122" s="16">
        <f>(E122+F122*0.5)</f>
        <v>0</v>
      </c>
      <c r="E122" s="12">
        <f>SUMIF('UFCA - JN'!$I$770:$I$778,C122,'UFCA - JN'!$N$770:$N$778)</f>
        <v>0</v>
      </c>
      <c r="F122" s="176">
        <v>0</v>
      </c>
      <c r="G122" s="13">
        <f>2+1</f>
        <v>3</v>
      </c>
      <c r="H122" s="163">
        <v>0</v>
      </c>
      <c r="J122" s="65"/>
      <c r="K122" s="212"/>
    </row>
    <row r="123" spans="1:18">
      <c r="C123" s="209" t="s">
        <v>563</v>
      </c>
      <c r="D123" s="210">
        <f t="shared" ref="D123:F123" si="38">SUM(D120:D122)</f>
        <v>0</v>
      </c>
      <c r="E123" s="210">
        <f t="shared" si="38"/>
        <v>0</v>
      </c>
      <c r="F123" s="210">
        <f t="shared" si="38"/>
        <v>0</v>
      </c>
      <c r="G123" s="210">
        <f>SUM(G120:G122)</f>
        <v>8</v>
      </c>
      <c r="H123" s="210">
        <f>SUM(H120:H122)</f>
        <v>0</v>
      </c>
      <c r="J123" s="218"/>
    </row>
    <row r="125" spans="1:18">
      <c r="B125" s="80"/>
      <c r="D125" s="795" t="s">
        <v>1390</v>
      </c>
      <c r="E125" s="795"/>
      <c r="F125" s="795"/>
      <c r="G125" s="80"/>
      <c r="H125" s="80"/>
      <c r="J125" s="80"/>
    </row>
    <row r="126" spans="1:18">
      <c r="B126" s="80"/>
      <c r="D126" s="787" t="s">
        <v>1391</v>
      </c>
      <c r="E126" s="787"/>
      <c r="F126" s="787"/>
      <c r="G126" s="80"/>
      <c r="H126" s="80"/>
      <c r="J126" s="80"/>
    </row>
    <row r="127" spans="1:18" ht="38.25">
      <c r="B127" s="214" t="s">
        <v>70</v>
      </c>
      <c r="D127" s="202" t="s">
        <v>1392</v>
      </c>
      <c r="E127" s="202" t="s">
        <v>1393</v>
      </c>
      <c r="F127" s="202" t="s">
        <v>1394</v>
      </c>
      <c r="G127" s="202" t="s">
        <v>1395</v>
      </c>
      <c r="H127" s="235" t="s">
        <v>1396</v>
      </c>
      <c r="J127" s="236"/>
    </row>
    <row r="128" spans="1:18" ht="30">
      <c r="A128" s="226" t="s">
        <v>1432</v>
      </c>
      <c r="B128" s="171" t="s">
        <v>1429</v>
      </c>
      <c r="C128" s="64" t="s">
        <v>249</v>
      </c>
      <c r="D128" s="13">
        <f>(E128+F128*0.5)</f>
        <v>0</v>
      </c>
      <c r="E128" s="18">
        <f>SUMIF('UFCA - JN'!$I$578:$I$760,C128,'UFCA - JN'!$N$578:$N$760)</f>
        <v>0</v>
      </c>
      <c r="F128" s="176">
        <v>0</v>
      </c>
      <c r="G128" s="13">
        <f>7+3</f>
        <v>10</v>
      </c>
      <c r="H128" s="163">
        <v>0</v>
      </c>
      <c r="J128" s="65"/>
      <c r="K128" s="213" t="s">
        <v>1412</v>
      </c>
    </row>
    <row r="129" spans="1:10">
      <c r="C129" s="209" t="s">
        <v>563</v>
      </c>
      <c r="D129" s="210">
        <f>SUM(D128:D128)</f>
        <v>0</v>
      </c>
      <c r="E129" s="210">
        <f>SUM(E128:E128)</f>
        <v>0</v>
      </c>
      <c r="F129" s="210">
        <f>SUM(F128:F128)</f>
        <v>0</v>
      </c>
      <c r="G129" s="210">
        <f>SUM(G128:G128)</f>
        <v>10</v>
      </c>
      <c r="H129" s="210">
        <f>SUM(H128:H128)</f>
        <v>0</v>
      </c>
      <c r="J129" s="218"/>
    </row>
    <row r="131" spans="1:10">
      <c r="B131" s="80"/>
      <c r="D131" s="795" t="s">
        <v>1390</v>
      </c>
      <c r="E131" s="795"/>
      <c r="F131" s="795"/>
      <c r="G131" s="80"/>
      <c r="H131" s="80"/>
    </row>
    <row r="132" spans="1:10">
      <c r="B132" s="80"/>
      <c r="D132" s="787" t="s">
        <v>1391</v>
      </c>
      <c r="E132" s="787"/>
      <c r="F132" s="787"/>
      <c r="G132" s="80"/>
      <c r="H132" s="80"/>
    </row>
    <row r="133" spans="1:10" ht="38.25">
      <c r="B133" s="214" t="s">
        <v>70</v>
      </c>
      <c r="D133" s="202" t="s">
        <v>1392</v>
      </c>
      <c r="E133" s="202" t="s">
        <v>1393</v>
      </c>
      <c r="F133" s="202" t="s">
        <v>1394</v>
      </c>
      <c r="G133" s="202" t="s">
        <v>1395</v>
      </c>
      <c r="H133" s="235" t="s">
        <v>1396</v>
      </c>
    </row>
    <row r="134" spans="1:10" ht="30">
      <c r="A134" s="226" t="s">
        <v>1502</v>
      </c>
      <c r="B134" s="171" t="s">
        <v>1429</v>
      </c>
      <c r="C134" s="64" t="s">
        <v>249</v>
      </c>
      <c r="D134" s="13">
        <f>(E134+F134*0.5)</f>
        <v>0</v>
      </c>
      <c r="E134" s="18">
        <f>SUMIF('UFCA - JN'!$I$578:$I$760,C134,'UFCA - JN'!$N$578:$N$760)</f>
        <v>0</v>
      </c>
      <c r="F134" s="176">
        <v>0</v>
      </c>
      <c r="G134" s="13">
        <v>4</v>
      </c>
      <c r="H134" s="163">
        <v>0</v>
      </c>
    </row>
    <row r="135" spans="1:10">
      <c r="C135" s="209" t="s">
        <v>563</v>
      </c>
      <c r="D135" s="210">
        <f>SUM(D134:D134)</f>
        <v>0</v>
      </c>
      <c r="E135" s="210">
        <f>SUM(E134:E134)</f>
        <v>0</v>
      </c>
      <c r="F135" s="210">
        <f>SUM(F134:F134)</f>
        <v>0</v>
      </c>
      <c r="G135" s="210">
        <f>SUM(G134:G134)</f>
        <v>4</v>
      </c>
      <c r="H135" s="210">
        <f>SUM(H134:H134)</f>
        <v>0</v>
      </c>
    </row>
  </sheetData>
  <mergeCells count="135">
    <mergeCell ref="D131:F131"/>
    <mergeCell ref="D132:F132"/>
    <mergeCell ref="A45:H45"/>
    <mergeCell ref="AC4:AC5"/>
    <mergeCell ref="AC6:AC10"/>
    <mergeCell ref="AD6:AD10"/>
    <mergeCell ref="AC11:AC13"/>
    <mergeCell ref="AD11:AD13"/>
    <mergeCell ref="AC14:AC25"/>
    <mergeCell ref="AD14:AD25"/>
    <mergeCell ref="W11:W13"/>
    <mergeCell ref="P14:P25"/>
    <mergeCell ref="Q14:Q25"/>
    <mergeCell ref="A120:A122"/>
    <mergeCell ref="D84:F84"/>
    <mergeCell ref="D85:F85"/>
    <mergeCell ref="A112:A114"/>
    <mergeCell ref="D117:F117"/>
    <mergeCell ref="D118:F118"/>
    <mergeCell ref="D109:F109"/>
    <mergeCell ref="D110:F110"/>
    <mergeCell ref="D71:F71"/>
    <mergeCell ref="D72:F72"/>
    <mergeCell ref="D102:F102"/>
    <mergeCell ref="AC1:AF1"/>
    <mergeCell ref="D101:F101"/>
    <mergeCell ref="BS1:BV1"/>
    <mergeCell ref="BS4:BS5"/>
    <mergeCell ref="BS6:BS10"/>
    <mergeCell ref="BT6:BT10"/>
    <mergeCell ref="BS11:BS13"/>
    <mergeCell ref="BT11:BT13"/>
    <mergeCell ref="BS14:BS25"/>
    <mergeCell ref="BT14:BT25"/>
    <mergeCell ref="BN35:BN38"/>
    <mergeCell ref="BN33:BN34"/>
    <mergeCell ref="BN31:BN32"/>
    <mergeCell ref="BS35:BS38"/>
    <mergeCell ref="BS33:BS34"/>
    <mergeCell ref="BS31:BS32"/>
    <mergeCell ref="BN4:BN5"/>
    <mergeCell ref="BN6:BN10"/>
    <mergeCell ref="BO6:BO10"/>
    <mergeCell ref="BN11:BN13"/>
    <mergeCell ref="BO11:BO13"/>
    <mergeCell ref="BN1:BQ1"/>
    <mergeCell ref="J14:J25"/>
    <mergeCell ref="X6:X10"/>
    <mergeCell ref="D1:G1"/>
    <mergeCell ref="A6:A10"/>
    <mergeCell ref="B6:B10"/>
    <mergeCell ref="A4:A5"/>
    <mergeCell ref="P4:P5"/>
    <mergeCell ref="P6:P10"/>
    <mergeCell ref="Q6:Q10"/>
    <mergeCell ref="P11:P13"/>
    <mergeCell ref="Q11:Q13"/>
    <mergeCell ref="K1:N1"/>
    <mergeCell ref="I6:I10"/>
    <mergeCell ref="J6:J10"/>
    <mergeCell ref="J11:J13"/>
    <mergeCell ref="R1:U1"/>
    <mergeCell ref="X1:AA1"/>
    <mergeCell ref="A33:A34"/>
    <mergeCell ref="A58:A60"/>
    <mergeCell ref="D55:F55"/>
    <mergeCell ref="D92:F92"/>
    <mergeCell ref="D93:F93"/>
    <mergeCell ref="A95:A98"/>
    <mergeCell ref="A35:A38"/>
    <mergeCell ref="B11:B13"/>
    <mergeCell ref="B14:B25"/>
    <mergeCell ref="A11:A13"/>
    <mergeCell ref="A14:A25"/>
    <mergeCell ref="A66:A68"/>
    <mergeCell ref="A31:A32"/>
    <mergeCell ref="D78:F78"/>
    <mergeCell ref="D79:F79"/>
    <mergeCell ref="I11:I13"/>
    <mergeCell ref="I14:I25"/>
    <mergeCell ref="D56:F56"/>
    <mergeCell ref="D46:F46"/>
    <mergeCell ref="D47:F47"/>
    <mergeCell ref="A49:A52"/>
    <mergeCell ref="A74:A75"/>
    <mergeCell ref="D126:F126"/>
    <mergeCell ref="D125:F125"/>
    <mergeCell ref="BA4:BA5"/>
    <mergeCell ref="BA6:BA10"/>
    <mergeCell ref="AN4:AN5"/>
    <mergeCell ref="AN6:AN10"/>
    <mergeCell ref="AO6:AO10"/>
    <mergeCell ref="AN11:AN13"/>
    <mergeCell ref="AO11:AO13"/>
    <mergeCell ref="X11:X13"/>
    <mergeCell ref="W14:W25"/>
    <mergeCell ref="X14:X25"/>
    <mergeCell ref="W4:W5"/>
    <mergeCell ref="W6:W10"/>
    <mergeCell ref="AH4:AH5"/>
    <mergeCell ref="AH6:AH10"/>
    <mergeCell ref="AI6:AI10"/>
    <mergeCell ref="AH11:AH13"/>
    <mergeCell ref="AI11:AI13"/>
    <mergeCell ref="AH14:AH25"/>
    <mergeCell ref="I4:I5"/>
    <mergeCell ref="AP1:AT1"/>
    <mergeCell ref="BC1:BF1"/>
    <mergeCell ref="BI1:BL1"/>
    <mergeCell ref="AV1:AY1"/>
    <mergeCell ref="AI1:AL1"/>
    <mergeCell ref="BN14:BN25"/>
    <mergeCell ref="BO14:BO25"/>
    <mergeCell ref="BB14:BB25"/>
    <mergeCell ref="AN14:AN25"/>
    <mergeCell ref="AO14:AO25"/>
    <mergeCell ref="BB6:BB10"/>
    <mergeCell ref="BA11:BA13"/>
    <mergeCell ref="BB11:BB13"/>
    <mergeCell ref="BA14:BA25"/>
    <mergeCell ref="A87:A88"/>
    <mergeCell ref="AI14:AI25"/>
    <mergeCell ref="BH4:BH5"/>
    <mergeCell ref="BH6:BH10"/>
    <mergeCell ref="BI6:BI10"/>
    <mergeCell ref="BH11:BH13"/>
    <mergeCell ref="BI11:BI13"/>
    <mergeCell ref="BH14:BH25"/>
    <mergeCell ref="BI14:BI25"/>
    <mergeCell ref="D64:F64"/>
    <mergeCell ref="D63:F63"/>
    <mergeCell ref="AV14:AV25"/>
    <mergeCell ref="AV11:AV13"/>
    <mergeCell ref="AV6:AV10"/>
    <mergeCell ref="AV4:AV5"/>
  </mergeCells>
  <phoneticPr fontId="14" type="noConversion"/>
  <pageMargins left="0.511811024" right="0.511811024" top="0.78740157499999996" bottom="0.78740157499999996" header="0.31496062000000002" footer="0.31496062000000002"/>
  <pageSetup paperSize="9" scale="76" fitToHeight="0" orientation="portrait" r:id="rId1"/>
  <rowBreaks count="2" manualBreakCount="2">
    <brk id="40" max="16383" man="1"/>
    <brk id="91" max="74" man="1"/>
  </rowBreaks>
  <colBreaks count="11" manualBreakCount="11">
    <brk id="8" max="136" man="1"/>
    <brk id="15" max="135" man="1"/>
    <brk id="22" max="135" man="1"/>
    <brk id="28" max="135" man="1"/>
    <brk id="33" max="135" man="1"/>
    <brk id="39" max="135" man="1"/>
    <brk id="47" max="135" man="1"/>
    <brk id="52" max="135" man="1"/>
    <brk id="58" max="135" man="1"/>
    <brk id="65" max="135" man="1"/>
    <brk id="69" max="135" man="1"/>
  </colBreaks>
  <ignoredErrors>
    <ignoredError sqref="BU33 AX38 BU38:BU39" formulaRange="1"/>
    <ignoredError sqref="G113"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0DE4C-FC10-4CD8-BD21-3A16E3B37333}">
  <sheetPr>
    <tabColor theme="5" tint="0.59999389629810485"/>
    <pageSetUpPr fitToPage="1"/>
  </sheetPr>
  <dimension ref="A1:AH108"/>
  <sheetViews>
    <sheetView view="pageBreakPreview" zoomScale="96" zoomScaleNormal="100" zoomScaleSheetLayoutView="96" workbookViewId="0">
      <pane xSplit="1" topLeftCell="Q1" activePane="topRight" state="frozen"/>
      <selection pane="topRight" activeCell="X11" sqref="X11"/>
    </sheetView>
  </sheetViews>
  <sheetFormatPr defaultRowHeight="15"/>
  <cols>
    <col min="1" max="1" width="11.5703125" customWidth="1"/>
    <col min="2" max="2" width="24.42578125" bestFit="1" customWidth="1"/>
    <col min="3" max="3" width="21.140625" bestFit="1" customWidth="1"/>
    <col min="4" max="4" width="19.28515625" bestFit="1" customWidth="1"/>
    <col min="6" max="6" width="17.85546875" bestFit="1" customWidth="1"/>
    <col min="7" max="7" width="24.42578125" bestFit="1" customWidth="1"/>
    <col min="8" max="9" width="21.140625" bestFit="1" customWidth="1"/>
    <col min="11" max="11" width="17.85546875" bestFit="1" customWidth="1"/>
    <col min="12" max="12" width="24.42578125" bestFit="1" customWidth="1"/>
    <col min="13" max="14" width="21.140625" bestFit="1" customWidth="1"/>
    <col min="16" max="16" width="17.85546875" bestFit="1" customWidth="1"/>
    <col min="17" max="17" width="24.42578125" bestFit="1" customWidth="1"/>
    <col min="18" max="18" width="21.140625" bestFit="1" customWidth="1"/>
    <col min="19" max="19" width="19.7109375" bestFit="1" customWidth="1"/>
    <col min="21" max="21" width="17.85546875" bestFit="1" customWidth="1"/>
    <col min="22" max="22" width="24.42578125" bestFit="1" customWidth="1"/>
    <col min="23" max="23" width="21.140625" bestFit="1" customWidth="1"/>
    <col min="24" max="24" width="19.7109375" bestFit="1" customWidth="1"/>
    <col min="26" max="26" width="19.5703125" bestFit="1" customWidth="1"/>
  </cols>
  <sheetData>
    <row r="1" spans="1:33">
      <c r="A1" s="219"/>
      <c r="C1" s="805"/>
      <c r="D1" s="805"/>
      <c r="G1" s="805"/>
      <c r="H1" s="805"/>
      <c r="I1" s="805"/>
      <c r="L1" s="805"/>
      <c r="M1" s="805"/>
      <c r="N1" s="805"/>
      <c r="Q1" s="805"/>
      <c r="R1" s="805"/>
      <c r="S1" s="805"/>
      <c r="V1" s="805"/>
      <c r="W1" s="805"/>
      <c r="X1" s="805"/>
      <c r="Z1" t="s">
        <v>1530</v>
      </c>
      <c r="AA1" s="805"/>
      <c r="AB1" s="805"/>
      <c r="AC1" s="805"/>
      <c r="AF1" s="805"/>
      <c r="AG1" s="805"/>
    </row>
    <row r="2" spans="1:33" ht="45">
      <c r="A2" s="232" t="s">
        <v>1469</v>
      </c>
      <c r="B2" s="18">
        <v>1482.56</v>
      </c>
      <c r="C2" s="232" t="s">
        <v>1470</v>
      </c>
      <c r="D2" s="110">
        <v>367.25</v>
      </c>
      <c r="F2" s="232" t="s">
        <v>1469</v>
      </c>
      <c r="G2" s="18">
        <v>1839.65</v>
      </c>
      <c r="H2" s="232" t="s">
        <v>1470</v>
      </c>
      <c r="I2" s="256">
        <v>88.64</v>
      </c>
      <c r="K2" s="232" t="s">
        <v>1469</v>
      </c>
      <c r="L2" s="18">
        <v>1472.05</v>
      </c>
      <c r="M2" s="232" t="s">
        <v>1470</v>
      </c>
      <c r="N2" s="256">
        <v>205.35</v>
      </c>
      <c r="P2" s="232" t="s">
        <v>1469</v>
      </c>
      <c r="Q2" s="18">
        <v>2289.02</v>
      </c>
      <c r="R2" s="232" t="s">
        <v>1470</v>
      </c>
      <c r="S2" s="256">
        <v>209.12</v>
      </c>
      <c r="U2" s="232" t="s">
        <v>1469</v>
      </c>
      <c r="V2" s="18">
        <v>7164.72</v>
      </c>
      <c r="W2" s="232" t="s">
        <v>1470</v>
      </c>
      <c r="X2" s="256">
        <v>2205</v>
      </c>
      <c r="Z2">
        <f>SUM(B2,G2,L2,Q2,V2)</f>
        <v>14248</v>
      </c>
      <c r="AA2" s="86"/>
      <c r="AB2" s="86"/>
      <c r="AC2" s="86"/>
      <c r="AF2" s="86"/>
      <c r="AG2" s="86"/>
    </row>
    <row r="3" spans="1:33">
      <c r="D3" s="18" t="s">
        <v>2</v>
      </c>
      <c r="I3" s="18" t="s">
        <v>610</v>
      </c>
      <c r="N3" s="18" t="s">
        <v>1313</v>
      </c>
      <c r="S3" s="18" t="s">
        <v>632</v>
      </c>
      <c r="X3" s="12" t="s">
        <v>1529</v>
      </c>
      <c r="AA3" s="3"/>
      <c r="AB3" s="3"/>
      <c r="AC3" s="3"/>
      <c r="AF3" s="3"/>
      <c r="AG3" s="3"/>
    </row>
    <row r="4" spans="1:33">
      <c r="A4" s="790" t="s">
        <v>1367</v>
      </c>
      <c r="B4" s="64" t="s">
        <v>1361</v>
      </c>
      <c r="C4" s="64" t="s">
        <v>249</v>
      </c>
      <c r="D4" s="196">
        <f>SUMIF('UFCA - BA'!$F$118:$F$134,C4,'UFCA - BA'!$I$118:$I$134)</f>
        <v>10.18</v>
      </c>
      <c r="F4" s="790" t="s">
        <v>1367</v>
      </c>
      <c r="G4" s="64" t="s">
        <v>1361</v>
      </c>
      <c r="H4" s="64" t="s">
        <v>249</v>
      </c>
      <c r="I4" s="196">
        <f>SUMIF('UFCA - BA'!$F$143,H4,'UFCA - BA'!$I$143)</f>
        <v>0</v>
      </c>
      <c r="K4" s="790" t="s">
        <v>1367</v>
      </c>
      <c r="L4" s="64" t="s">
        <v>1361</v>
      </c>
      <c r="M4" s="64" t="s">
        <v>249</v>
      </c>
      <c r="N4" s="196">
        <f>SUMIF('UFCA - BA'!$F$143,M4,'UFCA - BA'!$I$143)</f>
        <v>0</v>
      </c>
      <c r="P4" s="790" t="s">
        <v>1367</v>
      </c>
      <c r="Q4" s="64" t="s">
        <v>1361</v>
      </c>
      <c r="R4" s="64" t="s">
        <v>249</v>
      </c>
      <c r="S4" s="196">
        <f>SUMIF('UFCA - BA'!$F$135:$F$142,R4,'UFCA - BA'!$I$135:$I$142)</f>
        <v>39.03</v>
      </c>
      <c r="U4" s="790" t="s">
        <v>1367</v>
      </c>
      <c r="V4" s="64" t="s">
        <v>1361</v>
      </c>
      <c r="W4" s="64" t="s">
        <v>249</v>
      </c>
      <c r="X4" s="196">
        <f>SUMIF('UFCA - BA'!$F$157:$F$230,W4,'UFCA - BA'!$I$157:$I$230)</f>
        <v>0</v>
      </c>
      <c r="Z4" s="3"/>
    </row>
    <row r="5" spans="1:33">
      <c r="A5" s="790"/>
      <c r="B5" s="96" t="s">
        <v>1363</v>
      </c>
      <c r="C5" s="48" t="s">
        <v>1364</v>
      </c>
      <c r="D5" s="196">
        <f>SUMIF('UFCA - BA'!$F$118:$F$134,C5,'UFCA - BA'!$I$118:$I$134)</f>
        <v>0</v>
      </c>
      <c r="F5" s="790"/>
      <c r="G5" s="96" t="s">
        <v>1363</v>
      </c>
      <c r="H5" s="48" t="s">
        <v>1364</v>
      </c>
      <c r="I5" s="196">
        <f>SUMIF('UFCA - BA'!$F$143,H5,'UFCA - BA'!$I$143)</f>
        <v>0</v>
      </c>
      <c r="K5" s="790"/>
      <c r="L5" s="96" t="s">
        <v>1363</v>
      </c>
      <c r="M5" s="48" t="s">
        <v>1364</v>
      </c>
      <c r="N5" s="196">
        <v>0</v>
      </c>
      <c r="P5" s="790"/>
      <c r="Q5" s="96" t="s">
        <v>1363</v>
      </c>
      <c r="R5" s="48" t="s">
        <v>1364</v>
      </c>
      <c r="S5" s="196">
        <f>SUMIF('UFCA - BA'!$F$135:$F$142,R5,'UFCA - BA'!$I$135:$I$142)</f>
        <v>0</v>
      </c>
      <c r="U5" s="790"/>
      <c r="V5" s="96" t="s">
        <v>1363</v>
      </c>
      <c r="W5" s="48" t="s">
        <v>1364</v>
      </c>
      <c r="X5" s="196">
        <f>SUMIF('UFCA - BA'!$F$157:$F$230,W5,'UFCA - BA'!$I$157:$I$230)</f>
        <v>145.94</v>
      </c>
    </row>
    <row r="6" spans="1:33">
      <c r="A6" s="790" t="s">
        <v>1368</v>
      </c>
      <c r="B6" s="791" t="s">
        <v>1365</v>
      </c>
      <c r="C6" s="64" t="s">
        <v>27</v>
      </c>
      <c r="D6" s="196">
        <f>SUMIF('UFCA - BA'!$F$118:$F$134,C6,'UFCA - BA'!$I$118:$I$134)</f>
        <v>0</v>
      </c>
      <c r="F6" s="790" t="s">
        <v>1368</v>
      </c>
      <c r="G6" s="791" t="s">
        <v>1365</v>
      </c>
      <c r="H6" s="64" t="s">
        <v>27</v>
      </c>
      <c r="I6" s="196">
        <f>SUMIF('UFCA - BA'!$F$143,H6,'UFCA - BA'!$I$143)</f>
        <v>0</v>
      </c>
      <c r="K6" s="790" t="s">
        <v>1368</v>
      </c>
      <c r="L6" s="791" t="s">
        <v>1365</v>
      </c>
      <c r="M6" s="64" t="s">
        <v>27</v>
      </c>
      <c r="N6" s="196">
        <v>0</v>
      </c>
      <c r="P6" s="790" t="s">
        <v>1368</v>
      </c>
      <c r="Q6" s="791" t="s">
        <v>1365</v>
      </c>
      <c r="R6" s="64" t="s">
        <v>27</v>
      </c>
      <c r="S6" s="196">
        <f>SUMIF('UFCA - BA'!$F$135:$F$142,R6,'UFCA - BA'!$I$135:$I$142)</f>
        <v>0</v>
      </c>
      <c r="U6" s="790" t="s">
        <v>1368</v>
      </c>
      <c r="V6" s="791" t="s">
        <v>1365</v>
      </c>
      <c r="W6" s="64" t="s">
        <v>27</v>
      </c>
      <c r="X6" s="196">
        <f>SUMIF('UFCA - BA'!$F$157:$F$230,W6,'UFCA - BA'!$I$157:$I$230)</f>
        <v>0</v>
      </c>
    </row>
    <row r="7" spans="1:33">
      <c r="A7" s="790"/>
      <c r="B7" s="791"/>
      <c r="C7" s="64" t="s">
        <v>355</v>
      </c>
      <c r="D7" s="196">
        <f>SUMIF('UFCA - BA'!$F$118:$F$134,C7,'UFCA - BA'!$I$118:$I$134)</f>
        <v>0</v>
      </c>
      <c r="F7" s="790"/>
      <c r="G7" s="791"/>
      <c r="H7" s="64" t="s">
        <v>355</v>
      </c>
      <c r="I7" s="196">
        <f>SUMIF('UFCA - BA'!$F$143,H7,'UFCA - BA'!$I$143)</f>
        <v>0</v>
      </c>
      <c r="K7" s="790"/>
      <c r="L7" s="791"/>
      <c r="M7" s="64" t="s">
        <v>355</v>
      </c>
      <c r="N7" s="196">
        <v>0</v>
      </c>
      <c r="P7" s="790"/>
      <c r="Q7" s="791"/>
      <c r="R7" s="64" t="s">
        <v>355</v>
      </c>
      <c r="S7" s="196">
        <f>SUMIF('UFCA - BA'!$F$135:$F$142,R7,'UFCA - BA'!$I$135:$I$142)</f>
        <v>64.66</v>
      </c>
      <c r="U7" s="790"/>
      <c r="V7" s="791"/>
      <c r="W7" s="64" t="s">
        <v>355</v>
      </c>
      <c r="X7" s="196">
        <f>SUMIF('UFCA - BA'!$F$157:$F$230,W7,'UFCA - BA'!$I$157:$I$230)</f>
        <v>49.9</v>
      </c>
    </row>
    <row r="8" spans="1:33">
      <c r="A8" s="790"/>
      <c r="B8" s="791"/>
      <c r="C8" s="64" t="s">
        <v>192</v>
      </c>
      <c r="D8" s="196">
        <f>SUMIF('UFCA - BA'!$F$118:$F$134,C8,'UFCA - BA'!$I$118:$I$134)</f>
        <v>10.36</v>
      </c>
      <c r="F8" s="790"/>
      <c r="G8" s="791"/>
      <c r="H8" s="64" t="s">
        <v>192</v>
      </c>
      <c r="I8" s="196">
        <f>SUMIF('UFCA - BA'!$F$143,H8,'UFCA - BA'!$I$143)</f>
        <v>0</v>
      </c>
      <c r="K8" s="790"/>
      <c r="L8" s="791"/>
      <c r="M8" s="64" t="s">
        <v>192</v>
      </c>
      <c r="N8" s="196">
        <v>0</v>
      </c>
      <c r="P8" s="790"/>
      <c r="Q8" s="791"/>
      <c r="R8" s="64" t="s">
        <v>192</v>
      </c>
      <c r="S8" s="196">
        <f>SUMIF('UFCA - BA'!$F$135:$F$142,R8,'UFCA - BA'!$I$135:$I$142)</f>
        <v>4.72</v>
      </c>
      <c r="U8" s="790"/>
      <c r="V8" s="791"/>
      <c r="W8" s="64" t="s">
        <v>192</v>
      </c>
      <c r="X8" s="196">
        <f>SUMIF('UFCA - BA'!$F$157:$F$230,W8,'UFCA - BA'!$I$157:$I$230)</f>
        <v>115.44999999999999</v>
      </c>
    </row>
    <row r="9" spans="1:33">
      <c r="A9" s="791" t="s">
        <v>1372</v>
      </c>
      <c r="B9" s="791" t="s">
        <v>1449</v>
      </c>
      <c r="C9" s="64" t="s">
        <v>194</v>
      </c>
      <c r="D9" s="196">
        <f>SUMIF('UFCA - BA'!$F$118:$F$134,C9,'UFCA - BA'!$I$118:$I$134)</f>
        <v>64.91</v>
      </c>
      <c r="F9" s="791" t="s">
        <v>1372</v>
      </c>
      <c r="G9" s="791" t="s">
        <v>1449</v>
      </c>
      <c r="H9" s="64" t="s">
        <v>194</v>
      </c>
      <c r="I9" s="196">
        <f>SUMIF('UFCA - BA'!$F$143,H9,'UFCA - BA'!$I$143)</f>
        <v>0</v>
      </c>
      <c r="K9" s="791" t="s">
        <v>1372</v>
      </c>
      <c r="L9" s="791" t="s">
        <v>1449</v>
      </c>
      <c r="M9" s="64" t="s">
        <v>194</v>
      </c>
      <c r="N9" s="196">
        <v>0</v>
      </c>
      <c r="P9" s="791" t="s">
        <v>1372</v>
      </c>
      <c r="Q9" s="791" t="s">
        <v>1449</v>
      </c>
      <c r="R9" s="64" t="s">
        <v>194</v>
      </c>
      <c r="S9" s="196">
        <f>SUMIF('UFCA - BA'!$F$135:$F$142,R9,'UFCA - BA'!$I$135:$I$142)</f>
        <v>67.48</v>
      </c>
      <c r="U9" s="791" t="s">
        <v>1372</v>
      </c>
      <c r="V9" s="791" t="s">
        <v>1449</v>
      </c>
      <c r="W9" s="64" t="s">
        <v>194</v>
      </c>
      <c r="X9" s="196">
        <f>SUMIF('UFCA - BA'!$F$157:$F$230,W9,'UFCA - BA'!$I$157:$I$230)</f>
        <v>416.18</v>
      </c>
    </row>
    <row r="10" spans="1:33">
      <c r="A10" s="791"/>
      <c r="B10" s="791"/>
      <c r="C10" s="64" t="s">
        <v>524</v>
      </c>
      <c r="D10" s="196">
        <f>SUMIF('UFCA - BA'!$F$118:$F$134,C10,'UFCA - BA'!$I$118:$I$134)</f>
        <v>0</v>
      </c>
      <c r="F10" s="791"/>
      <c r="G10" s="791"/>
      <c r="H10" s="64" t="s">
        <v>524</v>
      </c>
      <c r="I10" s="196"/>
      <c r="K10" s="791"/>
      <c r="L10" s="791"/>
      <c r="M10" s="64" t="s">
        <v>524</v>
      </c>
      <c r="N10" s="196"/>
      <c r="P10" s="791"/>
      <c r="Q10" s="791"/>
      <c r="R10" s="64" t="s">
        <v>524</v>
      </c>
      <c r="S10" s="196"/>
      <c r="U10" s="791"/>
      <c r="V10" s="791"/>
      <c r="W10" s="64" t="s">
        <v>524</v>
      </c>
      <c r="X10" s="196">
        <f>SUMIF('UFCA - BA'!$F$157:$F$230,W10,'UFCA - BA'!$I$157:$I$230)</f>
        <v>59.46</v>
      </c>
    </row>
    <row r="11" spans="1:33">
      <c r="A11" s="791"/>
      <c r="B11" s="791"/>
      <c r="C11" s="64" t="s">
        <v>1497</v>
      </c>
      <c r="D11" s="196">
        <f>SUMIF('UFCA - BA'!$F$118:$F$134,C11,'UFCA - BA'!$I$118:$I$134)</f>
        <v>0</v>
      </c>
      <c r="F11" s="791"/>
      <c r="G11" s="791"/>
      <c r="H11" s="64" t="s">
        <v>1497</v>
      </c>
      <c r="I11" s="196">
        <f>SUMIF('UFCA - BA'!$F$143,H11,'UFCA - BA'!$I$143)</f>
        <v>0</v>
      </c>
      <c r="K11" s="791"/>
      <c r="L11" s="791"/>
      <c r="M11" s="64" t="s">
        <v>1497</v>
      </c>
      <c r="N11" s="196">
        <v>0</v>
      </c>
      <c r="P11" s="791"/>
      <c r="Q11" s="791"/>
      <c r="R11" s="64" t="s">
        <v>1497</v>
      </c>
      <c r="S11" s="196">
        <f>SUMIF('UFCA - BA'!$F$135:$F$142,R11,'UFCA - BA'!$I$135:$I$142)</f>
        <v>0</v>
      </c>
      <c r="U11" s="791"/>
      <c r="V11" s="791"/>
      <c r="W11" s="64" t="s">
        <v>1497</v>
      </c>
      <c r="X11" s="196">
        <f>SUMIF('UFCA - BA'!$F$157:$F$230,W11,'UFCA - BA'!$I$157:$I$230)</f>
        <v>0</v>
      </c>
    </row>
    <row r="12" spans="1:33">
      <c r="A12" s="791"/>
      <c r="B12" s="791"/>
      <c r="C12" s="64" t="s">
        <v>821</v>
      </c>
      <c r="D12" s="196">
        <f>SUMIF('UFCA - BA'!$F$118:$F$134,C12,'UFCA - BA'!$I$118:$I$134)</f>
        <v>0</v>
      </c>
      <c r="F12" s="791"/>
      <c r="G12" s="791"/>
      <c r="H12" s="64" t="s">
        <v>821</v>
      </c>
      <c r="I12" s="196">
        <f>SUMIF('UFCA - BA'!$F$143,H12,'UFCA - BA'!$I$143)</f>
        <v>0</v>
      </c>
      <c r="K12" s="791"/>
      <c r="L12" s="791"/>
      <c r="M12" s="64" t="s">
        <v>821</v>
      </c>
      <c r="N12" s="196">
        <v>0</v>
      </c>
      <c r="P12" s="791"/>
      <c r="Q12" s="791"/>
      <c r="R12" s="64" t="s">
        <v>821</v>
      </c>
      <c r="S12" s="196">
        <f>SUMIF('UFCA - BA'!$F$135:$F$142,R12,'UFCA - BA'!$I$135:$I$142)</f>
        <v>0</v>
      </c>
      <c r="U12" s="791"/>
      <c r="V12" s="791"/>
      <c r="W12" s="64" t="s">
        <v>821</v>
      </c>
      <c r="X12" s="196">
        <f>SUMIF('UFCA - BA'!$F$157:$F$230,W12,'UFCA - BA'!$I$157:$I$230)</f>
        <v>0</v>
      </c>
    </row>
    <row r="13" spans="1:33">
      <c r="A13" s="791"/>
      <c r="B13" s="791"/>
      <c r="C13" s="64" t="s">
        <v>610</v>
      </c>
      <c r="D13" s="196">
        <f>SUMIF('UFCA - BA'!$F$118:$F$134,C13,'UFCA - BA'!$I$118:$I$134)</f>
        <v>0</v>
      </c>
      <c r="F13" s="791"/>
      <c r="G13" s="791"/>
      <c r="H13" s="64" t="s">
        <v>610</v>
      </c>
      <c r="I13" s="196">
        <f>SUMIF('UFCA - BA'!$F$143,H13,'UFCA - BA'!$I$143)</f>
        <v>78</v>
      </c>
      <c r="K13" s="791"/>
      <c r="L13" s="791"/>
      <c r="M13" s="64" t="s">
        <v>610</v>
      </c>
      <c r="N13" s="196">
        <v>0</v>
      </c>
      <c r="P13" s="791"/>
      <c r="Q13" s="791"/>
      <c r="R13" s="64" t="s">
        <v>610</v>
      </c>
      <c r="S13" s="196">
        <f>SUMIF('UFCA - BA'!$F$135:$F$142,R13,'UFCA - BA'!$I$135:$I$142)</f>
        <v>0</v>
      </c>
      <c r="U13" s="791"/>
      <c r="V13" s="791"/>
      <c r="W13" s="64" t="s">
        <v>610</v>
      </c>
      <c r="X13" s="196">
        <f>SUMIF('UFCA - BA'!$F$157:$F$230,W13,'UFCA - BA'!$I$157:$I$230)</f>
        <v>0</v>
      </c>
    </row>
    <row r="14" spans="1:33">
      <c r="A14" s="791"/>
      <c r="B14" s="791"/>
      <c r="C14" s="64" t="s">
        <v>1370</v>
      </c>
      <c r="D14" s="196">
        <f>SUMIF('UFCA - BA'!$F$118:$F$134,C14,'UFCA - BA'!$I$118:$I$134)</f>
        <v>0</v>
      </c>
      <c r="F14" s="791"/>
      <c r="G14" s="791"/>
      <c r="H14" s="64" t="s">
        <v>1370</v>
      </c>
      <c r="I14" s="196">
        <f>SUMIF('UFCA - BA'!$F$143,H14,'UFCA - BA'!$I$143)</f>
        <v>0</v>
      </c>
      <c r="K14" s="791"/>
      <c r="L14" s="791"/>
      <c r="M14" s="64" t="s">
        <v>1370</v>
      </c>
      <c r="N14" s="196">
        <v>0</v>
      </c>
      <c r="P14" s="791"/>
      <c r="Q14" s="791"/>
      <c r="R14" s="64" t="s">
        <v>1370</v>
      </c>
      <c r="S14" s="196">
        <f>SUMIF('UFCA - BA'!$F$135:$F$142,R14,'UFCA - BA'!$I$135:$I$142)</f>
        <v>0</v>
      </c>
      <c r="U14" s="791"/>
      <c r="V14" s="791"/>
      <c r="W14" s="64" t="s">
        <v>1370</v>
      </c>
      <c r="X14" s="196">
        <f>SUMIF('UFCA - BA'!$F$157:$F$230,W14,'UFCA - BA'!$I$157:$I$230)</f>
        <v>0</v>
      </c>
    </row>
    <row r="15" spans="1:33">
      <c r="A15" s="791" t="s">
        <v>1373</v>
      </c>
      <c r="B15" s="789"/>
      <c r="C15" s="64" t="s">
        <v>175</v>
      </c>
      <c r="D15" s="196">
        <f>SUMIF('UFCA - BA'!$F$118:$F$134,C15,'UFCA - BA'!$I$118:$I$134)</f>
        <v>16.100000000000001</v>
      </c>
      <c r="F15" s="791" t="s">
        <v>1373</v>
      </c>
      <c r="G15" s="789"/>
      <c r="H15" s="64" t="s">
        <v>175</v>
      </c>
      <c r="I15" s="196">
        <f>SUMIF('UFCA - BA'!$F$143,H15,'UFCA - BA'!$I$143)</f>
        <v>0</v>
      </c>
      <c r="K15" s="791" t="s">
        <v>1373</v>
      </c>
      <c r="L15" s="789"/>
      <c r="M15" s="64" t="s">
        <v>175</v>
      </c>
      <c r="N15" s="196">
        <v>0</v>
      </c>
      <c r="P15" s="791" t="s">
        <v>1373</v>
      </c>
      <c r="Q15" s="789"/>
      <c r="R15" s="64" t="s">
        <v>175</v>
      </c>
      <c r="S15" s="196">
        <f>SUMIF('UFCA - BA'!$F$135:$F$142,R15,'UFCA - BA'!$I$135:$I$142)</f>
        <v>0</v>
      </c>
      <c r="U15" s="791" t="s">
        <v>1373</v>
      </c>
      <c r="V15" s="789"/>
      <c r="W15" s="64" t="s">
        <v>175</v>
      </c>
      <c r="X15" s="196">
        <f>SUMIF('UFCA - BA'!$F$157:$F$230,W15,'UFCA - BA'!$I$157:$I$230)</f>
        <v>369.2000000000001</v>
      </c>
    </row>
    <row r="16" spans="1:33">
      <c r="A16" s="791"/>
      <c r="B16" s="789"/>
      <c r="C16" s="64" t="s">
        <v>109</v>
      </c>
      <c r="D16" s="196">
        <f>SUMIF('UFCA - BA'!$F$118:$F$134,C16,'UFCA - BA'!$I$118:$I$134)</f>
        <v>0</v>
      </c>
      <c r="F16" s="791"/>
      <c r="G16" s="789"/>
      <c r="H16" s="64" t="s">
        <v>109</v>
      </c>
      <c r="I16" s="196">
        <f>SUMIF('UFCA - BA'!$F$143,H16,'UFCA - BA'!$I$143)</f>
        <v>0</v>
      </c>
      <c r="K16" s="791"/>
      <c r="L16" s="789"/>
      <c r="M16" s="64" t="s">
        <v>109</v>
      </c>
      <c r="N16" s="196">
        <v>0</v>
      </c>
      <c r="P16" s="791"/>
      <c r="Q16" s="789"/>
      <c r="R16" s="64" t="s">
        <v>109</v>
      </c>
      <c r="S16" s="196">
        <f>SUMIF('UFCA - BA'!$F$135:$F$142,R16,'UFCA - BA'!$I$135:$I$142)</f>
        <v>0</v>
      </c>
      <c r="U16" s="791"/>
      <c r="V16" s="789"/>
      <c r="W16" s="64" t="s">
        <v>109</v>
      </c>
      <c r="X16" s="196">
        <f>SUMIF('UFCA - BA'!$F$157:$F$230,W16,'UFCA - BA'!$I$157:$I$230)</f>
        <v>0</v>
      </c>
    </row>
    <row r="17" spans="1:34">
      <c r="A17" s="791"/>
      <c r="B17" s="789"/>
      <c r="C17" s="64" t="s">
        <v>1313</v>
      </c>
      <c r="D17" s="196">
        <f>SUMIF('UFCA - BA'!$F$118:$F$134,C17,'UFCA - BA'!$I$118:$I$134)</f>
        <v>0</v>
      </c>
      <c r="F17" s="791"/>
      <c r="G17" s="789"/>
      <c r="H17" s="64" t="s">
        <v>1313</v>
      </c>
      <c r="I17" s="196">
        <f>SUMIF('UFCA - BA'!$F$143,H17,'UFCA - BA'!$I$143)</f>
        <v>0</v>
      </c>
      <c r="K17" s="791"/>
      <c r="L17" s="789"/>
      <c r="M17" s="64" t="s">
        <v>1313</v>
      </c>
      <c r="N17" s="196">
        <f>SUMIF('UFCA - BA'!$F$53,M17,'UFCA - BA'!$I$53)</f>
        <v>163</v>
      </c>
      <c r="P17" s="791"/>
      <c r="Q17" s="789"/>
      <c r="R17" s="64" t="s">
        <v>1313</v>
      </c>
      <c r="S17" s="196">
        <f>SUMIF('UFCA - BA'!$F$135:$F$142,R17,'UFCA - BA'!$I$135:$I$142)</f>
        <v>0</v>
      </c>
      <c r="U17" s="791"/>
      <c r="V17" s="789"/>
      <c r="W17" s="64" t="s">
        <v>1313</v>
      </c>
      <c r="X17" s="196">
        <f>SUMIF('UFCA - BA'!$F$157:$F$230,W17,'UFCA - BA'!$I$157:$I$230)</f>
        <v>0</v>
      </c>
    </row>
    <row r="18" spans="1:34">
      <c r="A18" s="791"/>
      <c r="B18" s="789"/>
      <c r="C18" s="64" t="s">
        <v>110</v>
      </c>
      <c r="D18" s="196">
        <f>SUMIF('UFCA - BA'!$F$118:$F$134,C18,'UFCA - BA'!$I$118:$I$134)</f>
        <v>0</v>
      </c>
      <c r="F18" s="791"/>
      <c r="G18" s="789"/>
      <c r="H18" s="64" t="s">
        <v>110</v>
      </c>
      <c r="I18" s="196">
        <f>SUMIF('UFCA - BA'!$F$143,H18,'UFCA - BA'!$I$143)</f>
        <v>0</v>
      </c>
      <c r="K18" s="791"/>
      <c r="L18" s="789"/>
      <c r="M18" s="64" t="s">
        <v>110</v>
      </c>
      <c r="N18" s="196">
        <v>0</v>
      </c>
      <c r="P18" s="791"/>
      <c r="Q18" s="789"/>
      <c r="R18" s="64" t="s">
        <v>110</v>
      </c>
      <c r="S18" s="196">
        <f>SUMIF('UFCA - BA'!$F$135:$F$142,R18,'UFCA - BA'!$I$135:$I$142)</f>
        <v>0</v>
      </c>
      <c r="U18" s="791"/>
      <c r="V18" s="789"/>
      <c r="W18" s="64" t="s">
        <v>110</v>
      </c>
      <c r="X18" s="196">
        <f>SUMIF('UFCA - BA'!$F$157:$F$230,W18,'UFCA - BA'!$I$157:$I$230)</f>
        <v>0</v>
      </c>
    </row>
    <row r="19" spans="1:34">
      <c r="A19" s="791"/>
      <c r="B19" s="789"/>
      <c r="C19" s="64" t="s">
        <v>211</v>
      </c>
      <c r="D19" s="196">
        <f>SUMIF('UFCA - BA'!$F$118:$F$134,C19,'UFCA - BA'!$I$118:$I$134)</f>
        <v>0</v>
      </c>
      <c r="F19" s="791"/>
      <c r="G19" s="789"/>
      <c r="H19" s="64" t="s">
        <v>211</v>
      </c>
      <c r="I19" s="196">
        <f>SUMIF('UFCA - BA'!$F$143,H19,'UFCA - BA'!$I$143)</f>
        <v>0</v>
      </c>
      <c r="K19" s="791"/>
      <c r="L19" s="789"/>
      <c r="M19" s="64" t="s">
        <v>211</v>
      </c>
      <c r="N19" s="196">
        <v>0</v>
      </c>
      <c r="P19" s="791"/>
      <c r="Q19" s="789"/>
      <c r="R19" s="64" t="s">
        <v>211</v>
      </c>
      <c r="S19" s="196">
        <f>SUMIF('UFCA - BA'!$F$135:$F$142,R19,'UFCA - BA'!$I$135:$I$142)</f>
        <v>7.66</v>
      </c>
      <c r="U19" s="791"/>
      <c r="V19" s="789"/>
      <c r="W19" s="64" t="s">
        <v>211</v>
      </c>
      <c r="X19" s="196">
        <f>SUMIF('UFCA - BA'!$F$157:$F$230,W19,'UFCA - BA'!$I$157:$I$230)</f>
        <v>0</v>
      </c>
    </row>
    <row r="20" spans="1:34">
      <c r="A20" s="791"/>
      <c r="B20" s="789"/>
      <c r="C20" s="64" t="s">
        <v>1371</v>
      </c>
      <c r="D20" s="196">
        <f>SUMIF('UFCA - BA'!$F$118:$F$134,C20,'UFCA - BA'!$I$118:$I$134)</f>
        <v>0</v>
      </c>
      <c r="F20" s="791"/>
      <c r="G20" s="789"/>
      <c r="H20" s="64" t="s">
        <v>1371</v>
      </c>
      <c r="I20" s="196">
        <f>SUMIF('UFCA - BA'!$F$143,H20,'UFCA - BA'!$I$143)</f>
        <v>0</v>
      </c>
      <c r="K20" s="791"/>
      <c r="L20" s="789"/>
      <c r="M20" s="64" t="s">
        <v>1371</v>
      </c>
      <c r="N20" s="196">
        <v>0</v>
      </c>
      <c r="P20" s="791"/>
      <c r="Q20" s="789"/>
      <c r="R20" s="64" t="s">
        <v>1371</v>
      </c>
      <c r="S20" s="196">
        <f>SUMIF('UFCA - BA'!$F$135:$F$142,R20,'UFCA - BA'!$I$135:$I$142)</f>
        <v>0</v>
      </c>
      <c r="U20" s="791"/>
      <c r="V20" s="789"/>
      <c r="W20" s="64" t="s">
        <v>1371</v>
      </c>
      <c r="X20" s="196">
        <f>SUMIF('UFCA - BA'!$F$157:$F$230,W20,'UFCA - BA'!$I$157:$I$230)</f>
        <v>0</v>
      </c>
    </row>
    <row r="21" spans="1:34">
      <c r="A21" s="791"/>
      <c r="B21" s="789"/>
      <c r="C21" s="64" t="s">
        <v>248</v>
      </c>
      <c r="D21" s="196">
        <f>SUMIF('UFCA - BA'!$F$118:$F$134,C21,'UFCA - BA'!$I$118:$I$134)</f>
        <v>0</v>
      </c>
      <c r="F21" s="791"/>
      <c r="G21" s="789"/>
      <c r="H21" s="64" t="s">
        <v>248</v>
      </c>
      <c r="I21" s="196">
        <f>SUMIF('UFCA - BA'!$F$143,H21,'UFCA - BA'!$I$143)</f>
        <v>0</v>
      </c>
      <c r="K21" s="791"/>
      <c r="L21" s="789"/>
      <c r="M21" s="64" t="s">
        <v>248</v>
      </c>
      <c r="N21" s="196">
        <v>0</v>
      </c>
      <c r="P21" s="791"/>
      <c r="Q21" s="789"/>
      <c r="R21" s="64" t="s">
        <v>248</v>
      </c>
      <c r="S21" s="196">
        <f>SUMIF('UFCA - BA'!$F$135:$F$142,R21,'UFCA - BA'!$I$135:$I$142)</f>
        <v>0</v>
      </c>
      <c r="U21" s="791"/>
      <c r="V21" s="789"/>
      <c r="W21" s="64" t="s">
        <v>248</v>
      </c>
      <c r="X21" s="196">
        <f>SUMIF('UFCA - BA'!$F$157:$F$230,W21,'UFCA - BA'!$I$157:$I$230)</f>
        <v>491.35</v>
      </c>
    </row>
    <row r="22" spans="1:34">
      <c r="A22" s="791"/>
      <c r="B22" s="789"/>
      <c r="C22" s="64" t="s">
        <v>208</v>
      </c>
      <c r="D22" s="196">
        <f>SUMIF('UFCA - BA'!$F$118:$F$134,C22,'UFCA - BA'!$I$118:$I$134)</f>
        <v>0</v>
      </c>
      <c r="F22" s="791"/>
      <c r="G22" s="789"/>
      <c r="H22" s="64" t="s">
        <v>208</v>
      </c>
      <c r="I22" s="196">
        <f>SUMIF('UFCA - BA'!$F$143,H22,'UFCA - BA'!$I$143)</f>
        <v>0</v>
      </c>
      <c r="K22" s="791"/>
      <c r="L22" s="789"/>
      <c r="M22" s="64" t="s">
        <v>208</v>
      </c>
      <c r="N22" s="196">
        <v>0</v>
      </c>
      <c r="P22" s="791"/>
      <c r="Q22" s="789"/>
      <c r="R22" s="64" t="s">
        <v>208</v>
      </c>
      <c r="S22" s="196">
        <f>SUMIF('UFCA - BA'!$F$135:$F$142,R22,'UFCA - BA'!$I$135:$I$142)</f>
        <v>0</v>
      </c>
      <c r="U22" s="791"/>
      <c r="V22" s="789"/>
      <c r="W22" s="64" t="s">
        <v>208</v>
      </c>
      <c r="X22" s="196">
        <f>SUMIF('UFCA - BA'!$F$157:$F$230,W22,'UFCA - BA'!$I$157:$I$230)</f>
        <v>109.18999999999998</v>
      </c>
    </row>
    <row r="23" spans="1:34">
      <c r="A23" s="791"/>
      <c r="B23" s="789"/>
      <c r="C23" s="64" t="s">
        <v>596</v>
      </c>
      <c r="D23" s="196">
        <f>SUMIF('UFCA - BA'!$F$118:$F$134,C23,'UFCA - BA'!$I$118:$I$134)</f>
        <v>0</v>
      </c>
      <c r="F23" s="791"/>
      <c r="G23" s="789"/>
      <c r="H23" s="64" t="s">
        <v>596</v>
      </c>
      <c r="I23" s="196">
        <f>SUMIF('UFCA - BA'!$F$143,H23,'UFCA - BA'!$I$143)</f>
        <v>0</v>
      </c>
      <c r="K23" s="791"/>
      <c r="L23" s="789"/>
      <c r="M23" s="64" t="s">
        <v>596</v>
      </c>
      <c r="N23" s="196">
        <v>0</v>
      </c>
      <c r="P23" s="791"/>
      <c r="Q23" s="789"/>
      <c r="R23" s="64" t="s">
        <v>596</v>
      </c>
      <c r="S23" s="196">
        <f>SUMIF('UFCA - BA'!$F$135:$F$142,R23,'UFCA - BA'!$I$135:$I$142)</f>
        <v>0</v>
      </c>
      <c r="U23" s="791"/>
      <c r="V23" s="789"/>
      <c r="W23" s="64" t="s">
        <v>596</v>
      </c>
      <c r="X23" s="196">
        <f>SUMIF('UFCA - BA'!$F$157:$F$230,W23,'UFCA - BA'!$I$157:$I$230)</f>
        <v>0</v>
      </c>
    </row>
    <row r="24" spans="1:34">
      <c r="A24" s="791"/>
      <c r="B24" s="789"/>
      <c r="C24" s="64" t="s">
        <v>593</v>
      </c>
      <c r="D24" s="196">
        <f>SUMIF('UFCA - BA'!$F$118:$F$134,C24,'UFCA - BA'!$I$118:$I$134)</f>
        <v>0</v>
      </c>
      <c r="F24" s="791"/>
      <c r="G24" s="789"/>
      <c r="H24" s="64" t="s">
        <v>593</v>
      </c>
      <c r="I24" s="196">
        <f>SUMIF('UFCA - BA'!$F$143,H24,'UFCA - BA'!$I$143)</f>
        <v>0</v>
      </c>
      <c r="K24" s="791"/>
      <c r="L24" s="789"/>
      <c r="M24" s="64" t="s">
        <v>593</v>
      </c>
      <c r="N24" s="196">
        <v>0</v>
      </c>
      <c r="P24" s="791"/>
      <c r="Q24" s="789"/>
      <c r="R24" s="64" t="s">
        <v>593</v>
      </c>
      <c r="S24" s="196">
        <f>SUMIF('UFCA - BA'!$F$135:$F$142,R24,'UFCA - BA'!$I$135:$I$142)</f>
        <v>0</v>
      </c>
      <c r="U24" s="791"/>
      <c r="V24" s="789"/>
      <c r="W24" s="64" t="s">
        <v>593</v>
      </c>
      <c r="X24" s="196">
        <f>SUMIF('UFCA - BA'!$F$157:$F$230,W24,'UFCA - BA'!$I$157:$I$230)</f>
        <v>0</v>
      </c>
    </row>
    <row r="25" spans="1:34">
      <c r="A25" s="791"/>
      <c r="B25" s="789"/>
      <c r="C25" s="64" t="s">
        <v>598</v>
      </c>
      <c r="D25" s="196">
        <f>SUMIF('UFCA - BA'!$F$118:$F$134,C25,'UFCA - BA'!$I$118:$I$134)</f>
        <v>102.04</v>
      </c>
      <c r="F25" s="791"/>
      <c r="G25" s="789"/>
      <c r="H25" s="64" t="s">
        <v>598</v>
      </c>
      <c r="I25" s="196">
        <f>SUMIF('UFCA - BA'!$F$143,H25,'UFCA - BA'!$I$143)</f>
        <v>0</v>
      </c>
      <c r="K25" s="791"/>
      <c r="L25" s="789"/>
      <c r="M25" s="64" t="s">
        <v>598</v>
      </c>
      <c r="N25" s="196">
        <v>0</v>
      </c>
      <c r="P25" s="791"/>
      <c r="Q25" s="789"/>
      <c r="R25" s="64" t="s">
        <v>598</v>
      </c>
      <c r="S25" s="196">
        <f>SUMIF('UFCA - BA'!$F$135:$F$142,R25,'UFCA - BA'!$I$135:$I$142)</f>
        <v>0</v>
      </c>
      <c r="U25" s="791"/>
      <c r="V25" s="789"/>
      <c r="W25" s="64" t="s">
        <v>598</v>
      </c>
      <c r="X25" s="196">
        <f>SUMIF('UFCA - BA'!$F$157:$F$230,W25,'UFCA - BA'!$I$157:$I$230)</f>
        <v>0</v>
      </c>
    </row>
    <row r="26" spans="1:34">
      <c r="A26" s="791"/>
      <c r="B26" s="789"/>
      <c r="C26" s="64" t="s">
        <v>595</v>
      </c>
      <c r="D26" s="196">
        <f>SUMIF('UFCA - BA'!$F$118:$F$134,C26,'UFCA - BA'!$I$118:$I$134)</f>
        <v>0</v>
      </c>
      <c r="F26" s="791"/>
      <c r="G26" s="789"/>
      <c r="H26" s="64" t="s">
        <v>595</v>
      </c>
      <c r="I26" s="196">
        <f>SUMIF('UFCA - BA'!$F$143,H26,'UFCA - BA'!$I$143)</f>
        <v>0</v>
      </c>
      <c r="K26" s="791"/>
      <c r="L26" s="789"/>
      <c r="M26" s="64" t="s">
        <v>595</v>
      </c>
      <c r="N26" s="196">
        <v>0</v>
      </c>
      <c r="P26" s="791"/>
      <c r="Q26" s="789"/>
      <c r="R26" s="64" t="s">
        <v>595</v>
      </c>
      <c r="S26" s="196">
        <f>SUMIF('UFCA - BA'!$F$135:$F$142,R26,'UFCA - BA'!$I$135:$I$142)</f>
        <v>0</v>
      </c>
      <c r="U26" s="791"/>
      <c r="V26" s="789"/>
      <c r="W26" s="64" t="s">
        <v>595</v>
      </c>
      <c r="X26" s="196">
        <f>SUMIF('UFCA - BA'!$F$157:$F$230,W26,'UFCA - BA'!$I$157:$I$230)</f>
        <v>0</v>
      </c>
    </row>
    <row r="27" spans="1:34">
      <c r="A27" s="791"/>
      <c r="B27" s="789"/>
      <c r="C27" s="64" t="s">
        <v>594</v>
      </c>
      <c r="D27" s="196">
        <f>SUMIF('UFCA - BA'!$F$118:$F$134,C27,'UFCA - BA'!$I$118:$I$134)</f>
        <v>0</v>
      </c>
      <c r="F27" s="791"/>
      <c r="G27" s="789"/>
      <c r="H27" s="64" t="s">
        <v>594</v>
      </c>
      <c r="I27" s="196">
        <f>SUMIF('UFCA - BA'!$F$143,H27,'UFCA - BA'!$I$143)</f>
        <v>0</v>
      </c>
      <c r="K27" s="791"/>
      <c r="L27" s="789"/>
      <c r="M27" s="64" t="s">
        <v>594</v>
      </c>
      <c r="N27" s="196">
        <v>0</v>
      </c>
      <c r="P27" s="791"/>
      <c r="Q27" s="789"/>
      <c r="R27" s="64" t="s">
        <v>594</v>
      </c>
      <c r="S27" s="196">
        <f>SUMIF('UFCA - BA'!$F$135:$F$142,R27,'UFCA - BA'!$I$135:$I$142)</f>
        <v>0</v>
      </c>
      <c r="U27" s="791"/>
      <c r="V27" s="789"/>
      <c r="W27" s="64" t="s">
        <v>594</v>
      </c>
      <c r="X27" s="196">
        <f>SUMIF('UFCA - BA'!$F$157:$F$230,W27,'UFCA - BA'!$I$157:$I$230)</f>
        <v>0</v>
      </c>
    </row>
    <row r="29" spans="1:34">
      <c r="D29">
        <f>SUM(D4:D27)</f>
        <v>203.58999999999997</v>
      </c>
      <c r="I29">
        <f>SUM(I4:I27)</f>
        <v>78</v>
      </c>
      <c r="N29">
        <f>SUM(N4:N27)</f>
        <v>163</v>
      </c>
      <c r="S29">
        <f>SUM(S4:S27)</f>
        <v>183.54999999999998</v>
      </c>
      <c r="X29">
        <f>SUM(X4:X27)</f>
        <v>1756.67</v>
      </c>
    </row>
    <row r="30" spans="1:34">
      <c r="C30" s="18" t="s">
        <v>2</v>
      </c>
      <c r="D30" s="220" t="s">
        <v>563</v>
      </c>
      <c r="E30" s="80"/>
      <c r="H30" s="18" t="s">
        <v>610</v>
      </c>
      <c r="I30" s="220" t="s">
        <v>563</v>
      </c>
      <c r="J30" s="80"/>
      <c r="M30" s="18" t="s">
        <v>1313</v>
      </c>
      <c r="N30" s="220" t="s">
        <v>563</v>
      </c>
      <c r="O30" s="80"/>
      <c r="R30" s="18" t="s">
        <v>632</v>
      </c>
      <c r="S30" s="220" t="s">
        <v>563</v>
      </c>
      <c r="T30" s="80"/>
      <c r="W30" s="18" t="s">
        <v>1529</v>
      </c>
      <c r="X30" s="220" t="s">
        <v>563</v>
      </c>
      <c r="AA30" s="3"/>
      <c r="AB30" s="3"/>
      <c r="AC30" s="3"/>
      <c r="AD30" s="80"/>
      <c r="AF30" s="3"/>
      <c r="AG30" s="3"/>
      <c r="AH30" s="80"/>
    </row>
    <row r="31" spans="1:34">
      <c r="A31" s="48"/>
      <c r="B31" s="12" t="s">
        <v>1362</v>
      </c>
      <c r="C31" s="197">
        <f>SUM(D4:D27)</f>
        <v>203.58999999999997</v>
      </c>
      <c r="D31" s="227">
        <f t="shared" ref="D31:D40" si="0">SUM(C31)</f>
        <v>203.58999999999997</v>
      </c>
      <c r="E31" s="216"/>
      <c r="F31" s="48"/>
      <c r="G31" s="12" t="s">
        <v>1362</v>
      </c>
      <c r="H31" s="197">
        <f>SUM(I4:I27)</f>
        <v>78</v>
      </c>
      <c r="I31" s="227">
        <f t="shared" ref="I31:I40" si="1">SUM(H31)</f>
        <v>78</v>
      </c>
      <c r="J31" s="216"/>
      <c r="K31" s="48"/>
      <c r="L31" s="12" t="s">
        <v>1362</v>
      </c>
      <c r="M31" s="197">
        <f>SUM(N4:N27)</f>
        <v>163</v>
      </c>
      <c r="N31" s="227">
        <f t="shared" ref="N31:N40" si="2">SUM(M31)</f>
        <v>163</v>
      </c>
      <c r="O31" s="216"/>
      <c r="P31" s="48"/>
      <c r="Q31" s="12" t="s">
        <v>1362</v>
      </c>
      <c r="R31" s="197">
        <f>SUM(S4:S27)</f>
        <v>183.54999999999998</v>
      </c>
      <c r="S31" s="227">
        <f t="shared" ref="S31:S40" si="3">SUM(R31)</f>
        <v>183.54999999999998</v>
      </c>
      <c r="T31" s="216"/>
      <c r="U31" s="48"/>
      <c r="V31" s="12" t="s">
        <v>1362</v>
      </c>
      <c r="W31" s="197">
        <f>SUM(X4:X27)</f>
        <v>1756.67</v>
      </c>
      <c r="X31" s="227">
        <f>W31</f>
        <v>1756.67</v>
      </c>
      <c r="AA31" s="215"/>
      <c r="AB31" s="215"/>
      <c r="AC31" s="215"/>
      <c r="AD31" s="216"/>
      <c r="AF31" s="215"/>
      <c r="AG31" s="215"/>
      <c r="AH31" s="216"/>
    </row>
    <row r="32" spans="1:34" ht="30">
      <c r="A32" s="98" t="s">
        <v>1367</v>
      </c>
      <c r="B32" s="200" t="s">
        <v>1361</v>
      </c>
      <c r="C32" s="199">
        <f>D4</f>
        <v>10.18</v>
      </c>
      <c r="D32" s="227">
        <f t="shared" si="0"/>
        <v>10.18</v>
      </c>
      <c r="E32" s="216"/>
      <c r="F32" s="98" t="s">
        <v>1367</v>
      </c>
      <c r="G32" s="200" t="s">
        <v>1361</v>
      </c>
      <c r="H32" s="199">
        <f>I4</f>
        <v>0</v>
      </c>
      <c r="I32" s="227">
        <f t="shared" si="1"/>
        <v>0</v>
      </c>
      <c r="J32" s="216"/>
      <c r="K32" s="98" t="s">
        <v>1367</v>
      </c>
      <c r="L32" s="200" t="s">
        <v>1361</v>
      </c>
      <c r="M32" s="199">
        <f>N4</f>
        <v>0</v>
      </c>
      <c r="N32" s="227">
        <f t="shared" si="2"/>
        <v>0</v>
      </c>
      <c r="O32" s="216"/>
      <c r="P32" s="98" t="s">
        <v>1367</v>
      </c>
      <c r="Q32" s="200" t="s">
        <v>1361</v>
      </c>
      <c r="R32" s="199">
        <f>S4</f>
        <v>39.03</v>
      </c>
      <c r="S32" s="227">
        <f t="shared" si="3"/>
        <v>39.03</v>
      </c>
      <c r="T32" s="216"/>
      <c r="U32" s="98" t="s">
        <v>1367</v>
      </c>
      <c r="V32" s="200" t="s">
        <v>1361</v>
      </c>
      <c r="W32" s="199">
        <f>X4</f>
        <v>0</v>
      </c>
      <c r="X32" s="227">
        <f t="shared" ref="X32:X41" si="4">W32</f>
        <v>0</v>
      </c>
      <c r="AB32" s="4"/>
      <c r="AC32" s="4"/>
      <c r="AD32" s="216"/>
      <c r="AF32" s="4"/>
      <c r="AG32" s="4"/>
      <c r="AH32" s="216"/>
    </row>
    <row r="33" spans="1:34">
      <c r="A33" s="800" t="s">
        <v>1363</v>
      </c>
      <c r="B33" s="48" t="s">
        <v>1365</v>
      </c>
      <c r="C33" s="198">
        <f>D5</f>
        <v>0</v>
      </c>
      <c r="D33" s="227">
        <f t="shared" si="0"/>
        <v>0</v>
      </c>
      <c r="E33" s="216"/>
      <c r="F33" s="800" t="s">
        <v>1363</v>
      </c>
      <c r="G33" s="48" t="s">
        <v>1365</v>
      </c>
      <c r="H33" s="198">
        <f>I5</f>
        <v>0</v>
      </c>
      <c r="I33" s="227">
        <f t="shared" si="1"/>
        <v>0</v>
      </c>
      <c r="J33" s="216"/>
      <c r="K33" s="800" t="s">
        <v>1363</v>
      </c>
      <c r="L33" s="48" t="s">
        <v>1365</v>
      </c>
      <c r="M33" s="198">
        <f>N5</f>
        <v>0</v>
      </c>
      <c r="N33" s="227">
        <f t="shared" si="2"/>
        <v>0</v>
      </c>
      <c r="O33" s="216"/>
      <c r="P33" s="800" t="s">
        <v>1363</v>
      </c>
      <c r="Q33" s="48" t="s">
        <v>1365</v>
      </c>
      <c r="R33" s="198">
        <f>S5</f>
        <v>0</v>
      </c>
      <c r="S33" s="227">
        <f t="shared" si="3"/>
        <v>0</v>
      </c>
      <c r="T33" s="216"/>
      <c r="U33" s="800" t="s">
        <v>1363</v>
      </c>
      <c r="V33" s="48" t="s">
        <v>1365</v>
      </c>
      <c r="W33" s="198">
        <f>X5</f>
        <v>145.94</v>
      </c>
      <c r="X33" s="227">
        <f t="shared" si="4"/>
        <v>145.94</v>
      </c>
      <c r="AB33" s="4"/>
      <c r="AC33" s="4"/>
      <c r="AD33" s="216"/>
      <c r="AF33" s="4"/>
      <c r="AG33" s="4"/>
      <c r="AH33" s="216"/>
    </row>
    <row r="34" spans="1:34" ht="30" customHeight="1">
      <c r="A34" s="801"/>
      <c r="B34" s="48" t="s">
        <v>1366</v>
      </c>
      <c r="C34" s="198">
        <v>0</v>
      </c>
      <c r="D34" s="227">
        <f t="shared" si="0"/>
        <v>0</v>
      </c>
      <c r="E34" s="216"/>
      <c r="F34" s="801"/>
      <c r="G34" s="48" t="s">
        <v>1366</v>
      </c>
      <c r="H34" s="198">
        <v>0</v>
      </c>
      <c r="I34" s="227">
        <f t="shared" si="1"/>
        <v>0</v>
      </c>
      <c r="J34" s="216"/>
      <c r="K34" s="801"/>
      <c r="L34" s="48" t="s">
        <v>1366</v>
      </c>
      <c r="M34" s="198">
        <v>0</v>
      </c>
      <c r="N34" s="227">
        <f t="shared" si="2"/>
        <v>0</v>
      </c>
      <c r="O34" s="216"/>
      <c r="P34" s="801"/>
      <c r="Q34" s="48" t="s">
        <v>1366</v>
      </c>
      <c r="R34" s="198">
        <v>0</v>
      </c>
      <c r="S34" s="227">
        <f t="shared" si="3"/>
        <v>0</v>
      </c>
      <c r="T34" s="216"/>
      <c r="U34" s="801"/>
      <c r="V34" s="48" t="s">
        <v>1366</v>
      </c>
      <c r="W34" s="198">
        <v>0</v>
      </c>
      <c r="X34" s="227">
        <f t="shared" si="4"/>
        <v>0</v>
      </c>
      <c r="AB34" s="4"/>
      <c r="AC34" s="4"/>
      <c r="AD34" s="216"/>
      <c r="AF34" s="4"/>
      <c r="AG34" s="4"/>
      <c r="AH34" s="216"/>
    </row>
    <row r="35" spans="1:34">
      <c r="A35" s="797" t="s">
        <v>1368</v>
      </c>
      <c r="B35" s="48" t="s">
        <v>1365</v>
      </c>
      <c r="C35" s="198">
        <f>SUM(D6:D8)</f>
        <v>10.36</v>
      </c>
      <c r="D35" s="227">
        <f t="shared" si="0"/>
        <v>10.36</v>
      </c>
      <c r="E35" s="216"/>
      <c r="F35" s="797" t="s">
        <v>1368</v>
      </c>
      <c r="G35" s="48" t="s">
        <v>1365</v>
      </c>
      <c r="H35" s="198">
        <f>SUM(I6:I8)</f>
        <v>0</v>
      </c>
      <c r="I35" s="227">
        <f t="shared" si="1"/>
        <v>0</v>
      </c>
      <c r="J35" s="216"/>
      <c r="K35" s="797" t="s">
        <v>1368</v>
      </c>
      <c r="L35" s="48" t="s">
        <v>1365</v>
      </c>
      <c r="M35" s="198">
        <f>SUM(N6:N8)</f>
        <v>0</v>
      </c>
      <c r="N35" s="227">
        <f t="shared" si="2"/>
        <v>0</v>
      </c>
      <c r="O35" s="216"/>
      <c r="P35" s="797" t="s">
        <v>1368</v>
      </c>
      <c r="Q35" s="48" t="s">
        <v>1365</v>
      </c>
      <c r="R35" s="198">
        <f>SUM(S6:S8)</f>
        <v>69.38</v>
      </c>
      <c r="S35" s="227">
        <f t="shared" si="3"/>
        <v>69.38</v>
      </c>
      <c r="T35" s="216"/>
      <c r="U35" s="797" t="s">
        <v>1368</v>
      </c>
      <c r="V35" s="48" t="s">
        <v>1365</v>
      </c>
      <c r="W35" s="198">
        <f>SUM(X6:X8)</f>
        <v>165.35</v>
      </c>
      <c r="X35" s="227">
        <f t="shared" si="4"/>
        <v>165.35</v>
      </c>
      <c r="AB35" s="4"/>
      <c r="AC35" s="4"/>
      <c r="AD35" s="216"/>
      <c r="AF35" s="4"/>
      <c r="AG35" s="4"/>
      <c r="AH35" s="216"/>
    </row>
    <row r="36" spans="1:34">
      <c r="A36" s="797"/>
      <c r="B36" s="48" t="s">
        <v>1366</v>
      </c>
      <c r="C36" s="198">
        <v>0</v>
      </c>
      <c r="D36" s="227">
        <f t="shared" si="0"/>
        <v>0</v>
      </c>
      <c r="E36" s="216"/>
      <c r="F36" s="797"/>
      <c r="G36" s="48" t="s">
        <v>1366</v>
      </c>
      <c r="H36" s="198">
        <v>0</v>
      </c>
      <c r="I36" s="227">
        <f t="shared" si="1"/>
        <v>0</v>
      </c>
      <c r="J36" s="216"/>
      <c r="K36" s="797"/>
      <c r="L36" s="48" t="s">
        <v>1366</v>
      </c>
      <c r="M36" s="198">
        <v>0</v>
      </c>
      <c r="N36" s="227">
        <f t="shared" si="2"/>
        <v>0</v>
      </c>
      <c r="O36" s="216"/>
      <c r="P36" s="797"/>
      <c r="Q36" s="48" t="s">
        <v>1366</v>
      </c>
      <c r="R36" s="198">
        <v>0</v>
      </c>
      <c r="S36" s="227">
        <f t="shared" si="3"/>
        <v>0</v>
      </c>
      <c r="T36" s="216"/>
      <c r="U36" s="797"/>
      <c r="V36" s="48" t="s">
        <v>1366</v>
      </c>
      <c r="W36" s="198">
        <v>0</v>
      </c>
      <c r="X36" s="227">
        <f t="shared" si="4"/>
        <v>0</v>
      </c>
      <c r="AB36" s="4"/>
      <c r="AC36" s="4"/>
      <c r="AD36" s="216"/>
      <c r="AF36" s="4"/>
      <c r="AG36" s="4"/>
      <c r="AH36" s="216"/>
    </row>
    <row r="37" spans="1:34">
      <c r="A37" s="798" t="s">
        <v>1372</v>
      </c>
      <c r="B37" s="48" t="s">
        <v>615</v>
      </c>
      <c r="C37" s="198">
        <v>0</v>
      </c>
      <c r="D37" s="227">
        <f t="shared" si="0"/>
        <v>0</v>
      </c>
      <c r="E37" s="216"/>
      <c r="F37" s="798" t="s">
        <v>1372</v>
      </c>
      <c r="G37" s="48" t="s">
        <v>615</v>
      </c>
      <c r="H37" s="198">
        <v>0</v>
      </c>
      <c r="I37" s="227">
        <f t="shared" si="1"/>
        <v>0</v>
      </c>
      <c r="J37" s="216"/>
      <c r="K37" s="798" t="s">
        <v>1372</v>
      </c>
      <c r="L37" s="48" t="s">
        <v>615</v>
      </c>
      <c r="M37" s="198">
        <v>0</v>
      </c>
      <c r="N37" s="227">
        <f t="shared" si="2"/>
        <v>0</v>
      </c>
      <c r="O37" s="216"/>
      <c r="P37" s="798" t="s">
        <v>1372</v>
      </c>
      <c r="Q37" s="48" t="s">
        <v>615</v>
      </c>
      <c r="R37" s="198">
        <v>0</v>
      </c>
      <c r="S37" s="227">
        <f t="shared" si="3"/>
        <v>0</v>
      </c>
      <c r="T37" s="216"/>
      <c r="U37" s="798" t="s">
        <v>1372</v>
      </c>
      <c r="V37" s="48" t="s">
        <v>615</v>
      </c>
      <c r="W37" s="198">
        <v>0</v>
      </c>
      <c r="X37" s="227">
        <f t="shared" si="4"/>
        <v>0</v>
      </c>
      <c r="AB37" s="4"/>
      <c r="AC37" s="4"/>
      <c r="AD37" s="216"/>
      <c r="AF37" s="4"/>
      <c r="AG37" s="4"/>
      <c r="AH37" s="216"/>
    </row>
    <row r="38" spans="1:34">
      <c r="A38" s="798"/>
      <c r="B38" s="48" t="s">
        <v>1387</v>
      </c>
      <c r="C38" s="198">
        <v>0</v>
      </c>
      <c r="D38" s="227">
        <f t="shared" si="0"/>
        <v>0</v>
      </c>
      <c r="E38" s="216"/>
      <c r="F38" s="798"/>
      <c r="G38" s="48" t="s">
        <v>1387</v>
      </c>
      <c r="H38" s="198">
        <v>0</v>
      </c>
      <c r="I38" s="227">
        <f t="shared" si="1"/>
        <v>0</v>
      </c>
      <c r="J38" s="216"/>
      <c r="K38" s="798"/>
      <c r="L38" s="48" t="s">
        <v>1387</v>
      </c>
      <c r="M38" s="198">
        <v>0</v>
      </c>
      <c r="N38" s="227">
        <f t="shared" si="2"/>
        <v>0</v>
      </c>
      <c r="O38" s="216"/>
      <c r="P38" s="798"/>
      <c r="Q38" s="48" t="s">
        <v>1387</v>
      </c>
      <c r="R38" s="198">
        <v>0</v>
      </c>
      <c r="S38" s="227">
        <f t="shared" si="3"/>
        <v>0</v>
      </c>
      <c r="T38" s="216"/>
      <c r="U38" s="798"/>
      <c r="V38" s="48" t="s">
        <v>1387</v>
      </c>
      <c r="W38" s="198">
        <v>0</v>
      </c>
      <c r="X38" s="227">
        <f t="shared" si="4"/>
        <v>0</v>
      </c>
      <c r="AB38" s="4"/>
      <c r="AC38" s="4"/>
      <c r="AD38" s="216"/>
      <c r="AF38" s="4"/>
      <c r="AG38" s="4"/>
      <c r="AH38" s="216"/>
    </row>
    <row r="39" spans="1:34">
      <c r="A39" s="798"/>
      <c r="B39" s="48" t="s">
        <v>1388</v>
      </c>
      <c r="C39" s="198">
        <v>0</v>
      </c>
      <c r="D39" s="227">
        <f t="shared" si="0"/>
        <v>0</v>
      </c>
      <c r="E39" s="216"/>
      <c r="F39" s="798"/>
      <c r="G39" s="48" t="s">
        <v>1388</v>
      </c>
      <c r="H39" s="198">
        <v>0</v>
      </c>
      <c r="I39" s="227">
        <f t="shared" si="1"/>
        <v>0</v>
      </c>
      <c r="J39" s="216"/>
      <c r="K39" s="798"/>
      <c r="L39" s="48" t="s">
        <v>1388</v>
      </c>
      <c r="M39" s="198">
        <v>0</v>
      </c>
      <c r="N39" s="227">
        <f t="shared" si="2"/>
        <v>0</v>
      </c>
      <c r="O39" s="216"/>
      <c r="P39" s="798"/>
      <c r="Q39" s="48" t="s">
        <v>1388</v>
      </c>
      <c r="R39" s="198">
        <v>0</v>
      </c>
      <c r="S39" s="227">
        <f t="shared" si="3"/>
        <v>0</v>
      </c>
      <c r="T39" s="216"/>
      <c r="U39" s="798"/>
      <c r="V39" s="48" t="s">
        <v>1388</v>
      </c>
      <c r="W39" s="198">
        <v>0</v>
      </c>
      <c r="X39" s="227">
        <f t="shared" si="4"/>
        <v>0</v>
      </c>
      <c r="AB39" s="4"/>
      <c r="AC39" s="4"/>
      <c r="AD39" s="216"/>
      <c r="AF39" s="4"/>
      <c r="AG39" s="4"/>
      <c r="AH39" s="216"/>
    </row>
    <row r="40" spans="1:34" ht="60">
      <c r="A40" s="799"/>
      <c r="B40" s="61" t="s">
        <v>1451</v>
      </c>
      <c r="C40" s="198">
        <f>SUM(D9:D14)</f>
        <v>64.91</v>
      </c>
      <c r="D40" s="227">
        <f t="shared" si="0"/>
        <v>64.91</v>
      </c>
      <c r="E40" s="216"/>
      <c r="F40" s="799"/>
      <c r="G40" s="61" t="s">
        <v>1451</v>
      </c>
      <c r="H40" s="198">
        <f>SUM(I9:I14)</f>
        <v>78</v>
      </c>
      <c r="I40" s="227">
        <f t="shared" si="1"/>
        <v>78</v>
      </c>
      <c r="J40" s="216"/>
      <c r="K40" s="799"/>
      <c r="L40" s="61" t="s">
        <v>1451</v>
      </c>
      <c r="M40" s="198">
        <f>SUM(N9:N14)</f>
        <v>0</v>
      </c>
      <c r="N40" s="227">
        <f t="shared" si="2"/>
        <v>0</v>
      </c>
      <c r="O40" s="216"/>
      <c r="P40" s="799"/>
      <c r="Q40" s="61" t="s">
        <v>1451</v>
      </c>
      <c r="R40" s="198">
        <f>SUM(S9:S14)</f>
        <v>67.48</v>
      </c>
      <c r="S40" s="227">
        <f t="shared" si="3"/>
        <v>67.48</v>
      </c>
      <c r="T40" s="216"/>
      <c r="U40" s="799"/>
      <c r="V40" s="61" t="s">
        <v>1451</v>
      </c>
      <c r="W40" s="198">
        <f>SUM(X9:X14)</f>
        <v>475.64</v>
      </c>
      <c r="X40" s="227">
        <f t="shared" si="4"/>
        <v>475.64</v>
      </c>
      <c r="AB40" s="4"/>
      <c r="AC40" s="4"/>
      <c r="AD40" s="216"/>
      <c r="AF40" s="4"/>
      <c r="AG40" s="4"/>
      <c r="AH40" s="216"/>
    </row>
    <row r="41" spans="1:34">
      <c r="A41" s="96" t="s">
        <v>1373</v>
      </c>
      <c r="B41" s="48"/>
      <c r="C41" s="48">
        <f>SUM(D15:D27)</f>
        <v>118.14000000000001</v>
      </c>
      <c r="D41" s="227">
        <f>SUM(C41)</f>
        <v>118.14000000000001</v>
      </c>
      <c r="E41" s="216"/>
      <c r="F41" s="96" t="s">
        <v>1373</v>
      </c>
      <c r="G41" s="48"/>
      <c r="H41" s="48">
        <f>SUM(I15:I27)</f>
        <v>0</v>
      </c>
      <c r="I41" s="227">
        <f>SUM(H41)</f>
        <v>0</v>
      </c>
      <c r="J41" s="216"/>
      <c r="K41" s="96" t="s">
        <v>1373</v>
      </c>
      <c r="L41" s="48"/>
      <c r="M41" s="48">
        <f>SUM(N15:N27)</f>
        <v>163</v>
      </c>
      <c r="N41" s="227">
        <f>SUM(M41)</f>
        <v>163</v>
      </c>
      <c r="O41" s="216"/>
      <c r="P41" s="96" t="s">
        <v>1373</v>
      </c>
      <c r="Q41" s="48"/>
      <c r="R41" s="48">
        <f>SUM(S15:S27)</f>
        <v>7.66</v>
      </c>
      <c r="S41" s="227">
        <f>SUM(R41)</f>
        <v>7.66</v>
      </c>
      <c r="T41" s="216"/>
      <c r="U41" s="96" t="s">
        <v>1373</v>
      </c>
      <c r="V41" s="48"/>
      <c r="W41" s="48">
        <f>SUM(X15:X27)</f>
        <v>969.74000000000012</v>
      </c>
      <c r="X41" s="227">
        <f t="shared" si="4"/>
        <v>969.74000000000012</v>
      </c>
      <c r="AD41" s="216"/>
      <c r="AH41" s="216"/>
    </row>
    <row r="43" spans="1:34">
      <c r="C43">
        <f>SUM(C32,C35,C41,C40,C33)</f>
        <v>203.59</v>
      </c>
      <c r="H43">
        <f>SUM(H32,H35,H41,H40,H33)</f>
        <v>78</v>
      </c>
      <c r="M43">
        <f>SUM(M32,M35,M41,M40,M33)</f>
        <v>163</v>
      </c>
      <c r="R43">
        <f>SUM(R32,R35,R41,R40,R33)</f>
        <v>183.55</v>
      </c>
      <c r="W43">
        <f>SUM(W32,W35,W41,W40,W33)</f>
        <v>1756.67</v>
      </c>
    </row>
    <row r="45" spans="1:34" s="207" customFormat="1"/>
    <row r="46" spans="1:34">
      <c r="B46" s="80"/>
      <c r="D46" s="788" t="s">
        <v>1390</v>
      </c>
      <c r="E46" s="788"/>
      <c r="F46" s="80"/>
      <c r="G46" s="80"/>
    </row>
    <row r="47" spans="1:34">
      <c r="B47" s="80"/>
      <c r="D47" s="787" t="s">
        <v>1391</v>
      </c>
      <c r="E47" s="787"/>
      <c r="F47" s="80"/>
      <c r="G47" s="80"/>
    </row>
    <row r="48" spans="1:34" ht="25.5">
      <c r="B48" s="202" t="s">
        <v>2</v>
      </c>
      <c r="D48" s="202" t="s">
        <v>1392</v>
      </c>
      <c r="E48" s="202" t="s">
        <v>1394</v>
      </c>
      <c r="F48" s="202" t="s">
        <v>1395</v>
      </c>
      <c r="G48" s="202" t="s">
        <v>1396</v>
      </c>
      <c r="I48" s="2">
        <f>SUM(D50,D56,D62,D68,D74)</f>
        <v>26</v>
      </c>
    </row>
    <row r="49" spans="1:7">
      <c r="A49" s="90" t="s">
        <v>574</v>
      </c>
      <c r="B49" s="171" t="s">
        <v>1438</v>
      </c>
      <c r="C49" s="64" t="s">
        <v>249</v>
      </c>
      <c r="D49" s="208">
        <f>SUM(E49,F49)</f>
        <v>4</v>
      </c>
      <c r="E49" s="208">
        <v>0</v>
      </c>
      <c r="F49" s="13">
        <f>3+1</f>
        <v>4</v>
      </c>
      <c r="G49" s="13">
        <v>0</v>
      </c>
    </row>
    <row r="50" spans="1:7">
      <c r="C50" s="203" t="s">
        <v>563</v>
      </c>
      <c r="D50" s="204">
        <f>SUM(D49:D49)</f>
        <v>4</v>
      </c>
      <c r="E50" s="204">
        <f>SUM(E49:E49)</f>
        <v>0</v>
      </c>
      <c r="F50" s="204">
        <f>SUM(F49:F49)</f>
        <v>4</v>
      </c>
      <c r="G50" s="204">
        <f>SUM(G49:G49)</f>
        <v>0</v>
      </c>
    </row>
    <row r="52" spans="1:7">
      <c r="B52" s="80"/>
      <c r="D52" s="788" t="s">
        <v>1390</v>
      </c>
      <c r="E52" s="788"/>
      <c r="F52" s="80"/>
      <c r="G52" s="80"/>
    </row>
    <row r="53" spans="1:7">
      <c r="B53" s="80"/>
      <c r="D53" s="787" t="s">
        <v>1391</v>
      </c>
      <c r="E53" s="787"/>
      <c r="F53" s="80"/>
      <c r="G53" s="80"/>
    </row>
    <row r="54" spans="1:7" ht="25.5">
      <c r="B54" s="202" t="s">
        <v>195</v>
      </c>
      <c r="D54" s="202" t="s">
        <v>1392</v>
      </c>
      <c r="E54" s="202" t="s">
        <v>1394</v>
      </c>
      <c r="F54" s="202" t="s">
        <v>1395</v>
      </c>
      <c r="G54" s="202" t="s">
        <v>1396</v>
      </c>
    </row>
    <row r="55" spans="1:7">
      <c r="A55" s="90" t="s">
        <v>574</v>
      </c>
      <c r="B55" s="171" t="s">
        <v>1438</v>
      </c>
      <c r="C55" s="64" t="s">
        <v>249</v>
      </c>
      <c r="D55" s="208">
        <f>SUM(E55,F55)</f>
        <v>3</v>
      </c>
      <c r="E55" s="208">
        <v>0</v>
      </c>
      <c r="F55" s="13">
        <f>2+1</f>
        <v>3</v>
      </c>
      <c r="G55" s="13">
        <v>0</v>
      </c>
    </row>
    <row r="56" spans="1:7">
      <c r="C56" s="203" t="s">
        <v>563</v>
      </c>
      <c r="D56" s="204">
        <f>SUM(D55:D55)</f>
        <v>3</v>
      </c>
      <c r="E56" s="204">
        <f>SUM(E55:E55)</f>
        <v>0</v>
      </c>
      <c r="F56" s="204">
        <f>SUM(F55:F55)</f>
        <v>3</v>
      </c>
      <c r="G56" s="204">
        <f>SUM(G55:G55)</f>
        <v>0</v>
      </c>
    </row>
    <row r="58" spans="1:7">
      <c r="B58" s="80"/>
      <c r="D58" s="788" t="s">
        <v>1390</v>
      </c>
      <c r="E58" s="788"/>
      <c r="F58" s="80"/>
      <c r="G58" s="80"/>
    </row>
    <row r="59" spans="1:7">
      <c r="B59" s="80"/>
      <c r="D59" s="787" t="s">
        <v>1391</v>
      </c>
      <c r="E59" s="787"/>
      <c r="F59" s="80"/>
      <c r="G59" s="80"/>
    </row>
    <row r="60" spans="1:7" ht="25.5">
      <c r="B60" s="202" t="s">
        <v>1313</v>
      </c>
      <c r="D60" s="202" t="s">
        <v>1392</v>
      </c>
      <c r="E60" s="202" t="s">
        <v>1394</v>
      </c>
      <c r="F60" s="202" t="s">
        <v>1395</v>
      </c>
      <c r="G60" s="202" t="s">
        <v>1396</v>
      </c>
    </row>
    <row r="61" spans="1:7">
      <c r="A61" s="90" t="s">
        <v>574</v>
      </c>
      <c r="B61" s="171" t="s">
        <v>1438</v>
      </c>
      <c r="C61" s="64" t="s">
        <v>249</v>
      </c>
      <c r="D61" s="208">
        <f>SUM(E61,F61)</f>
        <v>5</v>
      </c>
      <c r="E61" s="208">
        <v>0</v>
      </c>
      <c r="F61" s="13">
        <f>3+2</f>
        <v>5</v>
      </c>
      <c r="G61" s="13">
        <v>0</v>
      </c>
    </row>
    <row r="62" spans="1:7">
      <c r="C62" s="203" t="s">
        <v>563</v>
      </c>
      <c r="D62" s="204">
        <f>SUM(D61:D61)</f>
        <v>5</v>
      </c>
      <c r="E62" s="204">
        <f>SUM(E61:E61)</f>
        <v>0</v>
      </c>
      <c r="F62" s="204">
        <f>SUM(F61:F61)</f>
        <v>5</v>
      </c>
      <c r="G62" s="204">
        <f>SUM(G61:G61)</f>
        <v>0</v>
      </c>
    </row>
    <row r="64" spans="1:7">
      <c r="B64" s="80"/>
      <c r="D64" s="788" t="s">
        <v>1390</v>
      </c>
      <c r="E64" s="788"/>
      <c r="F64" s="80"/>
      <c r="G64" s="80"/>
    </row>
    <row r="65" spans="1:7">
      <c r="B65" s="80"/>
      <c r="D65" s="787" t="s">
        <v>1391</v>
      </c>
      <c r="E65" s="787"/>
      <c r="F65" s="80"/>
      <c r="G65" s="80"/>
    </row>
    <row r="66" spans="1:7" ht="25.5">
      <c r="B66" s="202" t="s">
        <v>632</v>
      </c>
      <c r="D66" s="202" t="s">
        <v>1392</v>
      </c>
      <c r="E66" s="202" t="s">
        <v>1394</v>
      </c>
      <c r="F66" s="202" t="s">
        <v>1395</v>
      </c>
      <c r="G66" s="202" t="s">
        <v>1396</v>
      </c>
    </row>
    <row r="67" spans="1:7">
      <c r="A67" s="90" t="s">
        <v>574</v>
      </c>
      <c r="B67" s="171" t="s">
        <v>1438</v>
      </c>
      <c r="C67" s="64" t="s">
        <v>249</v>
      </c>
      <c r="D67" s="208">
        <f>SUM(E67,F67)</f>
        <v>4</v>
      </c>
      <c r="E67" s="208">
        <v>0</v>
      </c>
      <c r="F67" s="13">
        <f>2+2</f>
        <v>4</v>
      </c>
      <c r="G67" s="13">
        <v>0</v>
      </c>
    </row>
    <row r="68" spans="1:7">
      <c r="C68" s="203" t="s">
        <v>563</v>
      </c>
      <c r="D68" s="204">
        <f>SUM(D67:D67)</f>
        <v>4</v>
      </c>
      <c r="E68" s="204">
        <f>SUM(E67:E67)</f>
        <v>0</v>
      </c>
      <c r="F68" s="204">
        <f>SUM(F67:F67)</f>
        <v>4</v>
      </c>
      <c r="G68" s="204">
        <f>SUM(G67:G67)</f>
        <v>0</v>
      </c>
    </row>
    <row r="70" spans="1:7">
      <c r="B70" s="80"/>
      <c r="D70" s="788" t="s">
        <v>1390</v>
      </c>
      <c r="E70" s="788"/>
      <c r="F70" s="80"/>
      <c r="G70" s="80"/>
    </row>
    <row r="71" spans="1:7">
      <c r="B71" s="80"/>
      <c r="D71" s="787" t="s">
        <v>1391</v>
      </c>
      <c r="E71" s="787"/>
      <c r="F71" s="80"/>
      <c r="G71" s="80"/>
    </row>
    <row r="72" spans="1:7" ht="25.5">
      <c r="B72" s="202" t="s">
        <v>1529</v>
      </c>
      <c r="D72" s="202" t="s">
        <v>1392</v>
      </c>
      <c r="E72" s="202" t="s">
        <v>1394</v>
      </c>
      <c r="F72" s="202" t="s">
        <v>1395</v>
      </c>
      <c r="G72" s="202" t="s">
        <v>1396</v>
      </c>
    </row>
    <row r="73" spans="1:7">
      <c r="A73" s="90" t="s">
        <v>574</v>
      </c>
      <c r="B73" s="171" t="s">
        <v>1438</v>
      </c>
      <c r="C73" s="64" t="s">
        <v>249</v>
      </c>
      <c r="D73" s="208">
        <f>SUM(E73,F73)</f>
        <v>10</v>
      </c>
      <c r="E73" s="208">
        <v>0</v>
      </c>
      <c r="F73" s="13">
        <f>7+3</f>
        <v>10</v>
      </c>
      <c r="G73" s="13">
        <v>0</v>
      </c>
    </row>
    <row r="74" spans="1:7">
      <c r="C74" s="203" t="s">
        <v>563</v>
      </c>
      <c r="D74" s="204">
        <f>SUM(D73:D73)</f>
        <v>10</v>
      </c>
      <c r="E74" s="204">
        <f>SUM(E73:E73)</f>
        <v>0</v>
      </c>
      <c r="F74" s="204">
        <f>SUM(F73:F73)</f>
        <v>10</v>
      </c>
      <c r="G74" s="204">
        <f>SUM(G73:G73)</f>
        <v>0</v>
      </c>
    </row>
    <row r="75" spans="1:7">
      <c r="A75" s="65"/>
      <c r="B75" s="65"/>
    </row>
    <row r="76" spans="1:7">
      <c r="A76" s="237"/>
      <c r="B76" s="237"/>
    </row>
    <row r="78" spans="1:7">
      <c r="A78" s="80"/>
      <c r="B78" s="80"/>
    </row>
    <row r="79" spans="1:7">
      <c r="A79" s="80"/>
      <c r="B79" s="80"/>
    </row>
    <row r="80" spans="1:7">
      <c r="A80" s="236"/>
      <c r="B80" s="236"/>
    </row>
    <row r="81" spans="1:4">
      <c r="A81" s="65"/>
      <c r="B81" s="65"/>
    </row>
    <row r="82" spans="1:4">
      <c r="A82" s="237"/>
      <c r="B82" s="237"/>
      <c r="D82" s="237"/>
    </row>
    <row r="108" spans="1:2">
      <c r="A108" s="218"/>
      <c r="B108" s="218"/>
    </row>
  </sheetData>
  <mergeCells count="67">
    <mergeCell ref="D46:E46"/>
    <mergeCell ref="D47:E47"/>
    <mergeCell ref="U37:U40"/>
    <mergeCell ref="A35:A36"/>
    <mergeCell ref="F35:F36"/>
    <mergeCell ref="K35:K36"/>
    <mergeCell ref="P35:P36"/>
    <mergeCell ref="U35:U36"/>
    <mergeCell ref="A37:A40"/>
    <mergeCell ref="F37:F40"/>
    <mergeCell ref="K37:K40"/>
    <mergeCell ref="P37:P40"/>
    <mergeCell ref="A33:A34"/>
    <mergeCell ref="F33:F34"/>
    <mergeCell ref="K33:K34"/>
    <mergeCell ref="P33:P34"/>
    <mergeCell ref="U33:U34"/>
    <mergeCell ref="V15:V27"/>
    <mergeCell ref="A15:A27"/>
    <mergeCell ref="B15:B27"/>
    <mergeCell ref="F15:F27"/>
    <mergeCell ref="G15:G27"/>
    <mergeCell ref="K15:K27"/>
    <mergeCell ref="L15:L27"/>
    <mergeCell ref="P15:P27"/>
    <mergeCell ref="Q15:Q27"/>
    <mergeCell ref="U15:U27"/>
    <mergeCell ref="V9:V14"/>
    <mergeCell ref="A9:A14"/>
    <mergeCell ref="B9:B14"/>
    <mergeCell ref="F9:F14"/>
    <mergeCell ref="G9:G14"/>
    <mergeCell ref="K9:K14"/>
    <mergeCell ref="L9:L14"/>
    <mergeCell ref="P9:P14"/>
    <mergeCell ref="Q9:Q14"/>
    <mergeCell ref="U9:U14"/>
    <mergeCell ref="V6:V8"/>
    <mergeCell ref="A6:A8"/>
    <mergeCell ref="B6:B8"/>
    <mergeCell ref="F6:F8"/>
    <mergeCell ref="G6:G8"/>
    <mergeCell ref="K6:K8"/>
    <mergeCell ref="L6:L8"/>
    <mergeCell ref="P6:P8"/>
    <mergeCell ref="Q6:Q8"/>
    <mergeCell ref="U6:U8"/>
    <mergeCell ref="AA1:AC1"/>
    <mergeCell ref="AF1:AG1"/>
    <mergeCell ref="A4:A5"/>
    <mergeCell ref="F4:F5"/>
    <mergeCell ref="K4:K5"/>
    <mergeCell ref="P4:P5"/>
    <mergeCell ref="U4:U5"/>
    <mergeCell ref="C1:D1"/>
    <mergeCell ref="G1:I1"/>
    <mergeCell ref="L1:N1"/>
    <mergeCell ref="Q1:S1"/>
    <mergeCell ref="V1:X1"/>
    <mergeCell ref="D65:E65"/>
    <mergeCell ref="D70:E70"/>
    <mergeCell ref="D71:E71"/>
    <mergeCell ref="D52:E52"/>
    <mergeCell ref="D53:E53"/>
    <mergeCell ref="D58:E58"/>
    <mergeCell ref="D59:E59"/>
    <mergeCell ref="D64:E64"/>
  </mergeCells>
  <pageMargins left="0.511811024" right="0.511811024" top="0.78740157499999996" bottom="0.78740157499999996" header="0.31496062000000002" footer="0.31496062000000002"/>
  <pageSetup paperSize="9" scale="1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94D35-982F-400D-9469-36379F0059E7}">
  <sheetPr>
    <tabColor rgb="FFFAA2F0"/>
    <pageSetUpPr fitToPage="1"/>
  </sheetPr>
  <dimension ref="A1:N145"/>
  <sheetViews>
    <sheetView view="pageBreakPreview" topLeftCell="A98" zoomScaleNormal="100" zoomScaleSheetLayoutView="100" workbookViewId="0">
      <selection activeCell="I136" sqref="I136"/>
    </sheetView>
  </sheetViews>
  <sheetFormatPr defaultRowHeight="15"/>
  <cols>
    <col min="1" max="1" width="8.140625" bestFit="1" customWidth="1"/>
    <col min="2" max="2" width="11.28515625" customWidth="1"/>
    <col min="3" max="3" width="37.7109375" customWidth="1"/>
    <col min="4" max="4" width="11.42578125" style="11" customWidth="1"/>
    <col min="5" max="5" width="10.85546875" customWidth="1"/>
    <col min="6" max="6" width="16" customWidth="1"/>
    <col min="7" max="7" width="9.5703125" bestFit="1" customWidth="1"/>
    <col min="8" max="8" width="11.28515625" customWidth="1"/>
    <col min="9" max="9" width="16.5703125" style="11" bestFit="1" customWidth="1"/>
    <col min="10" max="10" width="17.7109375" customWidth="1"/>
    <col min="11" max="11" width="10.5703125" bestFit="1" customWidth="1"/>
    <col min="12" max="12" width="63.140625" customWidth="1"/>
  </cols>
  <sheetData>
    <row r="1" spans="1:14" ht="15" customHeight="1">
      <c r="A1" s="626" t="s">
        <v>1275</v>
      </c>
      <c r="B1" s="627"/>
      <c r="C1" s="627"/>
      <c r="D1" s="627"/>
      <c r="E1" s="627"/>
      <c r="F1" s="627"/>
      <c r="G1" s="627"/>
      <c r="H1" s="627"/>
      <c r="I1" s="627"/>
      <c r="J1" s="627"/>
      <c r="K1" s="627"/>
      <c r="L1" s="628"/>
    </row>
    <row r="2" spans="1:14" ht="15" customHeight="1">
      <c r="A2" s="626" t="s">
        <v>1276</v>
      </c>
      <c r="B2" s="627"/>
      <c r="C2" s="627"/>
      <c r="D2" s="627"/>
      <c r="E2" s="627"/>
      <c r="F2" s="627"/>
      <c r="G2" s="627"/>
      <c r="H2" s="627"/>
      <c r="I2" s="627"/>
      <c r="J2" s="627"/>
      <c r="K2" s="627"/>
      <c r="L2" s="628"/>
    </row>
    <row r="3" spans="1:14" ht="38.25">
      <c r="A3" s="166" t="s">
        <v>1249</v>
      </c>
      <c r="B3" s="166" t="s">
        <v>1229</v>
      </c>
      <c r="C3" s="166" t="s">
        <v>70</v>
      </c>
      <c r="D3" s="123" t="s">
        <v>1232</v>
      </c>
      <c r="E3" s="166" t="s">
        <v>1226</v>
      </c>
      <c r="F3" s="166" t="s">
        <v>1293</v>
      </c>
      <c r="G3" s="166" t="s">
        <v>1227</v>
      </c>
      <c r="H3" s="166" t="s">
        <v>1223</v>
      </c>
      <c r="I3" s="123" t="s">
        <v>1279</v>
      </c>
      <c r="J3" s="166" t="s">
        <v>1297</v>
      </c>
      <c r="K3" s="166" t="s">
        <v>1215</v>
      </c>
      <c r="L3" s="166" t="s">
        <v>1228</v>
      </c>
    </row>
    <row r="4" spans="1:14" ht="25.5">
      <c r="A4" s="167" t="s">
        <v>1222</v>
      </c>
      <c r="B4" s="168" t="s">
        <v>1231</v>
      </c>
      <c r="C4" s="172" t="s">
        <v>1236</v>
      </c>
      <c r="D4" s="373">
        <v>1</v>
      </c>
      <c r="E4" s="167">
        <v>2977.35</v>
      </c>
      <c r="F4" s="621">
        <f>SUM(E4:E31)</f>
        <v>38295.820000000007</v>
      </c>
      <c r="G4" s="167" t="s">
        <v>1241</v>
      </c>
      <c r="H4" s="167" t="s">
        <v>1222</v>
      </c>
      <c r="I4" s="168" t="s">
        <v>1280</v>
      </c>
      <c r="J4" s="167" t="s">
        <v>1298</v>
      </c>
      <c r="K4" s="167" t="s">
        <v>1217</v>
      </c>
      <c r="L4" s="167" t="s">
        <v>1259</v>
      </c>
    </row>
    <row r="5" spans="1:14" ht="38.25">
      <c r="A5" s="167" t="s">
        <v>1222</v>
      </c>
      <c r="B5" s="168" t="s">
        <v>1231</v>
      </c>
      <c r="C5" s="172" t="s">
        <v>365</v>
      </c>
      <c r="D5" s="374">
        <v>2</v>
      </c>
      <c r="E5" s="167">
        <v>1605.48</v>
      </c>
      <c r="F5" s="622"/>
      <c r="G5" s="167">
        <v>2008</v>
      </c>
      <c r="H5" s="167" t="s">
        <v>1222</v>
      </c>
      <c r="I5" s="168" t="s">
        <v>1280</v>
      </c>
      <c r="J5" s="167" t="s">
        <v>1298</v>
      </c>
      <c r="K5" s="167" t="s">
        <v>1217</v>
      </c>
      <c r="L5" s="167" t="s">
        <v>1243</v>
      </c>
      <c r="N5">
        <f>SUM(E5:E6)</f>
        <v>2283.9700000000003</v>
      </c>
    </row>
    <row r="6" spans="1:14" ht="25.5">
      <c r="A6" s="167" t="s">
        <v>1222</v>
      </c>
      <c r="B6" s="168" t="s">
        <v>1231</v>
      </c>
      <c r="C6" s="172" t="s">
        <v>557</v>
      </c>
      <c r="D6" s="373">
        <v>1</v>
      </c>
      <c r="E6" s="167">
        <v>678.49</v>
      </c>
      <c r="F6" s="622"/>
      <c r="G6" s="167">
        <v>2008</v>
      </c>
      <c r="H6" s="167" t="s">
        <v>1222</v>
      </c>
      <c r="I6" s="168" t="s">
        <v>1280</v>
      </c>
      <c r="J6" s="167" t="s">
        <v>1298</v>
      </c>
      <c r="K6" s="167" t="s">
        <v>1217</v>
      </c>
      <c r="L6" s="167" t="s">
        <v>1244</v>
      </c>
    </row>
    <row r="7" spans="1:14" ht="51">
      <c r="A7" s="167" t="s">
        <v>1222</v>
      </c>
      <c r="B7" s="168" t="s">
        <v>1231</v>
      </c>
      <c r="C7" s="172" t="s">
        <v>372</v>
      </c>
      <c r="D7" s="374">
        <v>2</v>
      </c>
      <c r="E7" s="167">
        <v>1605.48</v>
      </c>
      <c r="F7" s="622"/>
      <c r="G7" s="167">
        <v>2009</v>
      </c>
      <c r="H7" s="167" t="s">
        <v>1222</v>
      </c>
      <c r="I7" s="168" t="s">
        <v>1280</v>
      </c>
      <c r="J7" s="167" t="s">
        <v>1298</v>
      </c>
      <c r="K7" s="167" t="s">
        <v>1217</v>
      </c>
      <c r="L7" s="167" t="s">
        <v>1245</v>
      </c>
    </row>
    <row r="8" spans="1:14" ht="25.5">
      <c r="A8" s="167" t="s">
        <v>1222</v>
      </c>
      <c r="B8" s="168" t="s">
        <v>1231</v>
      </c>
      <c r="C8" s="172" t="s">
        <v>558</v>
      </c>
      <c r="D8" s="373">
        <v>1</v>
      </c>
      <c r="E8" s="167">
        <v>678.49</v>
      </c>
      <c r="F8" s="622"/>
      <c r="G8" s="167">
        <v>2009</v>
      </c>
      <c r="H8" s="167" t="s">
        <v>1222</v>
      </c>
      <c r="I8" s="168" t="s">
        <v>1280</v>
      </c>
      <c r="J8" s="167" t="s">
        <v>1298</v>
      </c>
      <c r="K8" s="167" t="s">
        <v>1217</v>
      </c>
      <c r="L8" s="167" t="s">
        <v>1244</v>
      </c>
    </row>
    <row r="9" spans="1:14" ht="63.75">
      <c r="A9" s="167" t="s">
        <v>1222</v>
      </c>
      <c r="B9" s="168" t="s">
        <v>1231</v>
      </c>
      <c r="C9" s="172" t="s">
        <v>375</v>
      </c>
      <c r="D9" s="374">
        <v>2</v>
      </c>
      <c r="E9" s="167">
        <v>1605.48</v>
      </c>
      <c r="F9" s="622"/>
      <c r="G9" s="167">
        <v>2010</v>
      </c>
      <c r="H9" s="167" t="s">
        <v>1222</v>
      </c>
      <c r="I9" s="168" t="s">
        <v>1280</v>
      </c>
      <c r="J9" s="167" t="s">
        <v>1298</v>
      </c>
      <c r="K9" s="167" t="s">
        <v>1217</v>
      </c>
      <c r="L9" s="167" t="s">
        <v>1247</v>
      </c>
    </row>
    <row r="10" spans="1:14">
      <c r="A10" s="167" t="s">
        <v>1222</v>
      </c>
      <c r="B10" s="168" t="s">
        <v>1231</v>
      </c>
      <c r="C10" s="172" t="s">
        <v>559</v>
      </c>
      <c r="D10" s="373">
        <v>1</v>
      </c>
      <c r="E10" s="167">
        <v>891</v>
      </c>
      <c r="F10" s="622"/>
      <c r="G10" s="167">
        <v>2010</v>
      </c>
      <c r="H10" s="167" t="s">
        <v>1222</v>
      </c>
      <c r="I10" s="168" t="s">
        <v>1280</v>
      </c>
      <c r="J10" s="167" t="s">
        <v>1298</v>
      </c>
      <c r="K10" s="167" t="s">
        <v>1217</v>
      </c>
      <c r="L10" s="167" t="s">
        <v>1255</v>
      </c>
    </row>
    <row r="11" spans="1:14" ht="51">
      <c r="A11" s="167" t="s">
        <v>1222</v>
      </c>
      <c r="B11" s="168" t="s">
        <v>1231</v>
      </c>
      <c r="C11" s="172" t="s">
        <v>376</v>
      </c>
      <c r="D11" s="374">
        <v>2</v>
      </c>
      <c r="E11" s="167">
        <v>2145.84</v>
      </c>
      <c r="F11" s="622"/>
      <c r="G11" s="167">
        <v>2013</v>
      </c>
      <c r="H11" s="167" t="s">
        <v>1222</v>
      </c>
      <c r="I11" s="168" t="s">
        <v>1280</v>
      </c>
      <c r="J11" s="167" t="s">
        <v>1298</v>
      </c>
      <c r="K11" s="167" t="s">
        <v>1217</v>
      </c>
      <c r="L11" s="167" t="s">
        <v>1245</v>
      </c>
    </row>
    <row r="12" spans="1:14" ht="25.5">
      <c r="A12" s="167" t="s">
        <v>1222</v>
      </c>
      <c r="B12" s="168" t="s">
        <v>1231</v>
      </c>
      <c r="C12" s="172" t="s">
        <v>335</v>
      </c>
      <c r="D12" s="374">
        <v>1</v>
      </c>
      <c r="E12" s="167">
        <v>881.89</v>
      </c>
      <c r="F12" s="622"/>
      <c r="G12" s="167">
        <v>2015</v>
      </c>
      <c r="H12" s="167" t="s">
        <v>1222</v>
      </c>
      <c r="I12" s="168" t="s">
        <v>1280</v>
      </c>
      <c r="J12" s="167" t="s">
        <v>1298</v>
      </c>
      <c r="K12" s="167" t="s">
        <v>1217</v>
      </c>
      <c r="L12" s="167" t="s">
        <v>1253</v>
      </c>
    </row>
    <row r="13" spans="1:14" ht="51">
      <c r="A13" s="167" t="s">
        <v>1222</v>
      </c>
      <c r="B13" s="168" t="s">
        <v>1231</v>
      </c>
      <c r="C13" s="172" t="s">
        <v>387</v>
      </c>
      <c r="D13" s="374">
        <v>6</v>
      </c>
      <c r="E13" s="167">
        <v>3844.44</v>
      </c>
      <c r="F13" s="622"/>
      <c r="G13" s="167">
        <v>2016</v>
      </c>
      <c r="H13" s="167" t="s">
        <v>1222</v>
      </c>
      <c r="I13" s="168" t="s">
        <v>1280</v>
      </c>
      <c r="J13" s="167" t="s">
        <v>1298</v>
      </c>
      <c r="K13" s="167" t="s">
        <v>1217</v>
      </c>
      <c r="L13" s="167" t="s">
        <v>1248</v>
      </c>
    </row>
    <row r="14" spans="1:14">
      <c r="A14" s="167" t="s">
        <v>1222</v>
      </c>
      <c r="B14" s="168" t="s">
        <v>1231</v>
      </c>
      <c r="C14" s="172" t="s">
        <v>560</v>
      </c>
      <c r="D14" s="374">
        <v>1</v>
      </c>
      <c r="E14" s="167">
        <v>891</v>
      </c>
      <c r="F14" s="622"/>
      <c r="G14" s="167">
        <v>2017</v>
      </c>
      <c r="H14" s="167" t="s">
        <v>1222</v>
      </c>
      <c r="I14" s="168" t="s">
        <v>1280</v>
      </c>
      <c r="J14" s="167" t="s">
        <v>1298</v>
      </c>
      <c r="K14" s="167" t="s">
        <v>1217</v>
      </c>
      <c r="L14" s="167" t="s">
        <v>1251</v>
      </c>
    </row>
    <row r="15" spans="1:14" ht="38.25">
      <c r="A15" s="167" t="s">
        <v>1222</v>
      </c>
      <c r="B15" s="168" t="s">
        <v>1231</v>
      </c>
      <c r="C15" s="172" t="s">
        <v>561</v>
      </c>
      <c r="D15" s="374">
        <v>6</v>
      </c>
      <c r="E15" s="167">
        <v>3844.44</v>
      </c>
      <c r="F15" s="622"/>
      <c r="G15" s="167">
        <v>2017</v>
      </c>
      <c r="H15" s="167" t="s">
        <v>1222</v>
      </c>
      <c r="I15" s="168" t="s">
        <v>1280</v>
      </c>
      <c r="J15" s="167" t="s">
        <v>1298</v>
      </c>
      <c r="K15" s="167" t="s">
        <v>1217</v>
      </c>
      <c r="L15" s="167" t="s">
        <v>1250</v>
      </c>
    </row>
    <row r="16" spans="1:14">
      <c r="A16" s="167" t="s">
        <v>1222</v>
      </c>
      <c r="B16" s="168" t="s">
        <v>1231</v>
      </c>
      <c r="C16" s="172" t="s">
        <v>562</v>
      </c>
      <c r="D16" s="374">
        <v>1</v>
      </c>
      <c r="E16" s="167">
        <v>891</v>
      </c>
      <c r="F16" s="622"/>
      <c r="G16" s="167">
        <v>2017</v>
      </c>
      <c r="H16" s="167" t="s">
        <v>1222</v>
      </c>
      <c r="I16" s="168" t="s">
        <v>1280</v>
      </c>
      <c r="J16" s="167" t="s">
        <v>1298</v>
      </c>
      <c r="K16" s="167" t="s">
        <v>1217</v>
      </c>
      <c r="L16" s="167" t="s">
        <v>1252</v>
      </c>
    </row>
    <row r="17" spans="1:12" ht="63.75">
      <c r="A17" s="167" t="s">
        <v>1222</v>
      </c>
      <c r="B17" s="168" t="s">
        <v>1231</v>
      </c>
      <c r="C17" s="172" t="s">
        <v>511</v>
      </c>
      <c r="D17" s="374">
        <v>6</v>
      </c>
      <c r="E17" s="167">
        <v>3914.52</v>
      </c>
      <c r="F17" s="622"/>
      <c r="G17" s="167">
        <v>2019</v>
      </c>
      <c r="H17" s="167" t="s">
        <v>1222</v>
      </c>
      <c r="I17" s="168" t="s">
        <v>1280</v>
      </c>
      <c r="J17" s="167" t="s">
        <v>1298</v>
      </c>
      <c r="K17" s="167" t="s">
        <v>1217</v>
      </c>
      <c r="L17" s="167" t="s">
        <v>1254</v>
      </c>
    </row>
    <row r="18" spans="1:12" ht="25.5">
      <c r="A18" s="167" t="s">
        <v>1222</v>
      </c>
      <c r="B18" s="168" t="s">
        <v>1231</v>
      </c>
      <c r="C18" s="172" t="s">
        <v>512</v>
      </c>
      <c r="D18" s="374">
        <v>1</v>
      </c>
      <c r="E18" s="167">
        <v>891</v>
      </c>
      <c r="F18" s="622"/>
      <c r="G18" s="167">
        <v>2019</v>
      </c>
      <c r="H18" s="167" t="s">
        <v>1222</v>
      </c>
      <c r="I18" s="168" t="s">
        <v>1280</v>
      </c>
      <c r="J18" s="167" t="s">
        <v>1298</v>
      </c>
      <c r="K18" s="167" t="s">
        <v>1217</v>
      </c>
      <c r="L18" s="167" t="s">
        <v>1246</v>
      </c>
    </row>
    <row r="19" spans="1:12" ht="38.25">
      <c r="A19" s="167" t="s">
        <v>1222</v>
      </c>
      <c r="B19" s="168" t="s">
        <v>1231</v>
      </c>
      <c r="C19" s="172" t="s">
        <v>522</v>
      </c>
      <c r="D19" s="373">
        <v>3</v>
      </c>
      <c r="E19" s="167">
        <v>3722.88</v>
      </c>
      <c r="F19" s="622"/>
      <c r="G19" s="167">
        <v>2017</v>
      </c>
      <c r="H19" s="167" t="s">
        <v>1222</v>
      </c>
      <c r="I19" s="168" t="s">
        <v>1280</v>
      </c>
      <c r="J19" s="167" t="s">
        <v>1298</v>
      </c>
      <c r="K19" s="167" t="s">
        <v>1217</v>
      </c>
      <c r="L19" s="167" t="s">
        <v>1256</v>
      </c>
    </row>
    <row r="20" spans="1:12">
      <c r="A20" s="167" t="s">
        <v>1222</v>
      </c>
      <c r="B20" s="168" t="s">
        <v>1231</v>
      </c>
      <c r="C20" s="172" t="s">
        <v>1234</v>
      </c>
      <c r="D20" s="373">
        <v>1</v>
      </c>
      <c r="E20" s="167">
        <v>994.08</v>
      </c>
      <c r="F20" s="622"/>
      <c r="G20" s="167">
        <v>2017</v>
      </c>
      <c r="H20" s="167" t="s">
        <v>1222</v>
      </c>
      <c r="I20" s="168" t="s">
        <v>1280</v>
      </c>
      <c r="J20" s="167" t="s">
        <v>1298</v>
      </c>
      <c r="K20" s="167" t="s">
        <v>1217</v>
      </c>
      <c r="L20" s="167" t="s">
        <v>1257</v>
      </c>
    </row>
    <row r="21" spans="1:12">
      <c r="A21" s="167" t="s">
        <v>1222</v>
      </c>
      <c r="B21" s="168" t="s">
        <v>1231</v>
      </c>
      <c r="C21" s="172" t="s">
        <v>1235</v>
      </c>
      <c r="D21" s="373">
        <v>1</v>
      </c>
      <c r="E21" s="167">
        <v>994.08</v>
      </c>
      <c r="F21" s="622"/>
      <c r="G21" s="167">
        <v>2017</v>
      </c>
      <c r="H21" s="167" t="s">
        <v>1222</v>
      </c>
      <c r="I21" s="168" t="s">
        <v>1280</v>
      </c>
      <c r="J21" s="167" t="s">
        <v>1298</v>
      </c>
      <c r="K21" s="167" t="s">
        <v>1217</v>
      </c>
      <c r="L21" s="167" t="s">
        <v>1257</v>
      </c>
    </row>
    <row r="22" spans="1:12">
      <c r="A22" s="167" t="s">
        <v>1222</v>
      </c>
      <c r="B22" s="168" t="s">
        <v>1231</v>
      </c>
      <c r="C22" s="172" t="s">
        <v>1224</v>
      </c>
      <c r="D22" s="373">
        <v>1</v>
      </c>
      <c r="E22" s="167">
        <v>421.75</v>
      </c>
      <c r="F22" s="622"/>
      <c r="G22" s="167">
        <v>2017</v>
      </c>
      <c r="H22" s="167" t="s">
        <v>1222</v>
      </c>
      <c r="I22" s="168" t="s">
        <v>1280</v>
      </c>
      <c r="J22" s="167" t="s">
        <v>1298</v>
      </c>
      <c r="K22" s="167" t="s">
        <v>1217</v>
      </c>
      <c r="L22" s="167" t="s">
        <v>1258</v>
      </c>
    </row>
    <row r="23" spans="1:12">
      <c r="A23" s="167" t="s">
        <v>1222</v>
      </c>
      <c r="B23" s="168" t="s">
        <v>1231</v>
      </c>
      <c r="C23" s="172" t="s">
        <v>1225</v>
      </c>
      <c r="D23" s="373">
        <v>1</v>
      </c>
      <c r="E23" s="167">
        <v>425.08000000000004</v>
      </c>
      <c r="F23" s="622"/>
      <c r="G23" s="167">
        <v>2019</v>
      </c>
      <c r="H23" s="167" t="s">
        <v>1222</v>
      </c>
      <c r="I23" s="168" t="s">
        <v>1280</v>
      </c>
      <c r="J23" s="167" t="s">
        <v>1298</v>
      </c>
      <c r="K23" s="167" t="s">
        <v>1217</v>
      </c>
      <c r="L23" s="167" t="s">
        <v>1258</v>
      </c>
    </row>
    <row r="24" spans="1:12">
      <c r="A24" s="167" t="s">
        <v>1222</v>
      </c>
      <c r="B24" s="168" t="s">
        <v>1231</v>
      </c>
      <c r="C24" s="172" t="s">
        <v>1237</v>
      </c>
      <c r="D24" s="373">
        <v>1</v>
      </c>
      <c r="E24" s="167">
        <v>54</v>
      </c>
      <c r="F24" s="622"/>
      <c r="G24" s="167">
        <v>2019</v>
      </c>
      <c r="H24" s="167" t="s">
        <v>1222</v>
      </c>
      <c r="I24" s="168" t="s">
        <v>1280</v>
      </c>
      <c r="J24" s="167" t="s">
        <v>1298</v>
      </c>
      <c r="K24" s="167" t="s">
        <v>1217</v>
      </c>
      <c r="L24" s="167" t="s">
        <v>1260</v>
      </c>
    </row>
    <row r="25" spans="1:12">
      <c r="A25" s="167" t="s">
        <v>1222</v>
      </c>
      <c r="B25" s="168" t="s">
        <v>1231</v>
      </c>
      <c r="C25" s="172" t="s">
        <v>1238</v>
      </c>
      <c r="D25" s="373">
        <v>1</v>
      </c>
      <c r="E25" s="167">
        <v>23.4</v>
      </c>
      <c r="F25" s="622"/>
      <c r="G25" s="167">
        <v>2019</v>
      </c>
      <c r="H25" s="167" t="s">
        <v>1222</v>
      </c>
      <c r="I25" s="168" t="s">
        <v>1280</v>
      </c>
      <c r="J25" s="167" t="s">
        <v>1298</v>
      </c>
      <c r="K25" s="167" t="s">
        <v>1217</v>
      </c>
      <c r="L25" s="167" t="s">
        <v>1260</v>
      </c>
    </row>
    <row r="26" spans="1:12">
      <c r="A26" s="167" t="s">
        <v>1222</v>
      </c>
      <c r="B26" s="168" t="s">
        <v>1231</v>
      </c>
      <c r="C26" s="172" t="s">
        <v>1230</v>
      </c>
      <c r="D26" s="373">
        <v>1</v>
      </c>
      <c r="E26" s="167">
        <v>22.62</v>
      </c>
      <c r="F26" s="622"/>
      <c r="G26" s="167">
        <v>2019</v>
      </c>
      <c r="H26" s="167" t="s">
        <v>1222</v>
      </c>
      <c r="I26" s="168" t="s">
        <v>1280</v>
      </c>
      <c r="J26" s="167" t="s">
        <v>1298</v>
      </c>
      <c r="K26" s="167" t="s">
        <v>1217</v>
      </c>
      <c r="L26" s="167" t="s">
        <v>1261</v>
      </c>
    </row>
    <row r="27" spans="1:12">
      <c r="A27" s="167" t="s">
        <v>1222</v>
      </c>
      <c r="B27" s="168" t="s">
        <v>1231</v>
      </c>
      <c r="C27" s="172" t="s">
        <v>1239</v>
      </c>
      <c r="D27" s="373">
        <v>1</v>
      </c>
      <c r="E27" s="167">
        <v>14.67</v>
      </c>
      <c r="F27" s="622"/>
      <c r="G27" s="167">
        <v>2019</v>
      </c>
      <c r="H27" s="167" t="s">
        <v>1222</v>
      </c>
      <c r="I27" s="168" t="s">
        <v>1280</v>
      </c>
      <c r="J27" s="167" t="s">
        <v>1298</v>
      </c>
      <c r="K27" s="167" t="s">
        <v>1217</v>
      </c>
      <c r="L27" s="167" t="s">
        <v>1261</v>
      </c>
    </row>
    <row r="28" spans="1:12" s="212" customFormat="1">
      <c r="A28" s="447" t="s">
        <v>1222</v>
      </c>
      <c r="B28" s="448" t="s">
        <v>1231</v>
      </c>
      <c r="C28" s="446" t="s">
        <v>2369</v>
      </c>
      <c r="D28" s="449">
        <v>1</v>
      </c>
      <c r="E28" s="447">
        <v>1626.36</v>
      </c>
      <c r="F28" s="622"/>
      <c r="G28" s="447">
        <v>2026</v>
      </c>
      <c r="H28" s="447"/>
      <c r="I28" s="448"/>
      <c r="J28" s="447"/>
      <c r="K28" s="447"/>
      <c r="L28" s="447"/>
    </row>
    <row r="29" spans="1:12" s="212" customFormat="1">
      <c r="A29" s="447" t="s">
        <v>1222</v>
      </c>
      <c r="B29" s="448" t="s">
        <v>1231</v>
      </c>
      <c r="C29" s="446" t="s">
        <v>2450</v>
      </c>
      <c r="D29" s="449">
        <v>1</v>
      </c>
      <c r="E29" s="447">
        <v>967</v>
      </c>
      <c r="F29" s="622"/>
      <c r="G29" s="447">
        <v>2026</v>
      </c>
      <c r="H29" s="447"/>
      <c r="I29" s="448"/>
      <c r="J29" s="447"/>
      <c r="K29" s="447"/>
      <c r="L29" s="447"/>
    </row>
    <row r="30" spans="1:12" s="212" customFormat="1">
      <c r="A30" s="447" t="s">
        <v>1222</v>
      </c>
      <c r="B30" s="448" t="s">
        <v>1231</v>
      </c>
      <c r="C30" s="446" t="s">
        <v>246</v>
      </c>
      <c r="D30" s="449">
        <v>1</v>
      </c>
      <c r="E30" s="447">
        <v>368</v>
      </c>
      <c r="F30" s="622"/>
      <c r="G30" s="451" t="s">
        <v>2488</v>
      </c>
      <c r="H30" s="447"/>
      <c r="I30" s="448"/>
      <c r="J30" s="447"/>
      <c r="K30" s="447"/>
      <c r="L30" s="447"/>
    </row>
    <row r="31" spans="1:12" s="212" customFormat="1">
      <c r="A31" s="447" t="s">
        <v>1222</v>
      </c>
      <c r="B31" s="448" t="s">
        <v>1231</v>
      </c>
      <c r="C31" s="446" t="s">
        <v>3</v>
      </c>
      <c r="D31" s="449">
        <v>1</v>
      </c>
      <c r="E31" s="447">
        <v>1316</v>
      </c>
      <c r="F31" s="623"/>
      <c r="G31" s="447">
        <v>2027</v>
      </c>
      <c r="H31" s="447"/>
      <c r="I31" s="448"/>
      <c r="J31" s="447"/>
      <c r="K31" s="447"/>
      <c r="L31" s="447"/>
    </row>
    <row r="32" spans="1:12">
      <c r="A32" s="167" t="s">
        <v>1222</v>
      </c>
      <c r="B32" s="168" t="s">
        <v>605</v>
      </c>
      <c r="C32" s="172" t="s">
        <v>365</v>
      </c>
      <c r="D32" s="374">
        <v>1</v>
      </c>
      <c r="E32" s="167">
        <v>640.39</v>
      </c>
      <c r="F32" s="621">
        <f>TRUNC(SUM(E32:E52),2)</f>
        <v>14559.57</v>
      </c>
      <c r="G32" s="167">
        <v>2011</v>
      </c>
      <c r="H32" s="167" t="s">
        <v>1222</v>
      </c>
      <c r="I32" s="168" t="s">
        <v>1280</v>
      </c>
      <c r="J32" s="167" t="s">
        <v>1298</v>
      </c>
      <c r="K32" s="167" t="s">
        <v>1217</v>
      </c>
      <c r="L32" s="167" t="s">
        <v>1262</v>
      </c>
    </row>
    <row r="33" spans="1:12">
      <c r="A33" s="167" t="s">
        <v>1222</v>
      </c>
      <c r="B33" s="168" t="s">
        <v>605</v>
      </c>
      <c r="C33" s="172" t="s">
        <v>557</v>
      </c>
      <c r="D33" s="373">
        <v>1</v>
      </c>
      <c r="E33" s="167">
        <v>396.15</v>
      </c>
      <c r="F33" s="622"/>
      <c r="G33" s="167">
        <v>2012</v>
      </c>
      <c r="H33" s="167" t="s">
        <v>1222</v>
      </c>
      <c r="I33" s="168" t="s">
        <v>1280</v>
      </c>
      <c r="J33" s="167" t="s">
        <v>1298</v>
      </c>
      <c r="K33" s="167" t="s">
        <v>1217</v>
      </c>
      <c r="L33" s="167" t="s">
        <v>1263</v>
      </c>
    </row>
    <row r="34" spans="1:12">
      <c r="A34" s="167" t="s">
        <v>1222</v>
      </c>
      <c r="B34" s="168" t="s">
        <v>605</v>
      </c>
      <c r="C34" s="172" t="s">
        <v>372</v>
      </c>
      <c r="D34" s="374">
        <v>1</v>
      </c>
      <c r="E34" s="167">
        <v>1291.8</v>
      </c>
      <c r="F34" s="622"/>
      <c r="G34" s="167">
        <v>2012</v>
      </c>
      <c r="H34" s="167" t="s">
        <v>1222</v>
      </c>
      <c r="I34" s="168" t="s">
        <v>1280</v>
      </c>
      <c r="J34" s="167" t="s">
        <v>1298</v>
      </c>
      <c r="K34" s="167" t="s">
        <v>1217</v>
      </c>
      <c r="L34" s="167" t="s">
        <v>1264</v>
      </c>
    </row>
    <row r="35" spans="1:12">
      <c r="A35" s="167" t="s">
        <v>1222</v>
      </c>
      <c r="B35" s="168" t="s">
        <v>605</v>
      </c>
      <c r="C35" s="172" t="s">
        <v>558</v>
      </c>
      <c r="D35" s="374">
        <v>1</v>
      </c>
      <c r="E35" s="167">
        <v>469.27</v>
      </c>
      <c r="F35" s="622"/>
      <c r="G35" s="167">
        <v>2012</v>
      </c>
      <c r="H35" s="167" t="s">
        <v>1222</v>
      </c>
      <c r="I35" s="168" t="s">
        <v>1280</v>
      </c>
      <c r="J35" s="167" t="s">
        <v>1298</v>
      </c>
      <c r="K35" s="167" t="s">
        <v>1217</v>
      </c>
      <c r="L35" s="167" t="s">
        <v>1265</v>
      </c>
    </row>
    <row r="36" spans="1:12">
      <c r="A36" s="167" t="s">
        <v>1222</v>
      </c>
      <c r="B36" s="168" t="s">
        <v>605</v>
      </c>
      <c r="C36" s="172" t="s">
        <v>375</v>
      </c>
      <c r="D36" s="374">
        <v>1</v>
      </c>
      <c r="E36" s="167">
        <v>1291.8</v>
      </c>
      <c r="F36" s="622"/>
      <c r="G36" s="167">
        <v>2012</v>
      </c>
      <c r="H36" s="167" t="s">
        <v>1222</v>
      </c>
      <c r="I36" s="168" t="s">
        <v>1280</v>
      </c>
      <c r="J36" s="167" t="s">
        <v>1298</v>
      </c>
      <c r="K36" s="167" t="s">
        <v>1217</v>
      </c>
      <c r="L36" s="167" t="s">
        <v>1266</v>
      </c>
    </row>
    <row r="37" spans="1:12">
      <c r="A37" s="167" t="s">
        <v>1222</v>
      </c>
      <c r="B37" s="168" t="s">
        <v>605</v>
      </c>
      <c r="C37" s="172" t="s">
        <v>559</v>
      </c>
      <c r="D37" s="374">
        <v>1</v>
      </c>
      <c r="E37" s="167">
        <v>714</v>
      </c>
      <c r="F37" s="622"/>
      <c r="G37" s="167">
        <v>2013</v>
      </c>
      <c r="H37" s="167" t="s">
        <v>1222</v>
      </c>
      <c r="I37" s="168" t="s">
        <v>1280</v>
      </c>
      <c r="J37" s="167" t="s">
        <v>1298</v>
      </c>
      <c r="K37" s="167" t="s">
        <v>1217</v>
      </c>
      <c r="L37" s="167" t="s">
        <v>1267</v>
      </c>
    </row>
    <row r="38" spans="1:12" ht="51">
      <c r="A38" s="167" t="s">
        <v>1222</v>
      </c>
      <c r="B38" s="168" t="s">
        <v>605</v>
      </c>
      <c r="C38" s="172" t="s">
        <v>376</v>
      </c>
      <c r="D38" s="374">
        <v>6</v>
      </c>
      <c r="E38" s="167">
        <v>3844.44</v>
      </c>
      <c r="F38" s="622"/>
      <c r="G38" s="167">
        <v>2017</v>
      </c>
      <c r="H38" s="167" t="s">
        <v>1222</v>
      </c>
      <c r="I38" s="168" t="s">
        <v>1280</v>
      </c>
      <c r="J38" s="167" t="s">
        <v>1298</v>
      </c>
      <c r="K38" s="167" t="s">
        <v>1217</v>
      </c>
      <c r="L38" s="167" t="s">
        <v>1268</v>
      </c>
    </row>
    <row r="39" spans="1:12">
      <c r="A39" s="167" t="s">
        <v>1222</v>
      </c>
      <c r="B39" s="168" t="s">
        <v>605</v>
      </c>
      <c r="C39" s="172" t="s">
        <v>1233</v>
      </c>
      <c r="D39" s="374">
        <v>1</v>
      </c>
      <c r="E39" s="167">
        <v>994.08</v>
      </c>
      <c r="F39" s="622"/>
      <c r="G39" s="167">
        <v>2017</v>
      </c>
      <c r="H39" s="167" t="s">
        <v>1222</v>
      </c>
      <c r="I39" s="168" t="s">
        <v>1280</v>
      </c>
      <c r="J39" s="167" t="s">
        <v>1298</v>
      </c>
      <c r="K39" s="167" t="s">
        <v>1217</v>
      </c>
      <c r="L39" s="167" t="s">
        <v>1257</v>
      </c>
    </row>
    <row r="40" spans="1:12">
      <c r="A40" s="167" t="s">
        <v>1222</v>
      </c>
      <c r="B40" s="168" t="s">
        <v>605</v>
      </c>
      <c r="C40" s="172" t="s">
        <v>606</v>
      </c>
      <c r="D40" s="374">
        <v>1</v>
      </c>
      <c r="E40" s="167">
        <v>9.5399999999999991</v>
      </c>
      <c r="F40" s="622"/>
      <c r="G40" s="167">
        <v>2015</v>
      </c>
      <c r="H40" s="167" t="s">
        <v>1222</v>
      </c>
      <c r="I40" s="168" t="s">
        <v>1280</v>
      </c>
      <c r="J40" s="167" t="s">
        <v>1298</v>
      </c>
      <c r="K40" s="167" t="s">
        <v>1217</v>
      </c>
      <c r="L40" s="167" t="s">
        <v>1260</v>
      </c>
    </row>
    <row r="41" spans="1:12">
      <c r="A41" s="167" t="s">
        <v>1222</v>
      </c>
      <c r="B41" s="168" t="s">
        <v>605</v>
      </c>
      <c r="C41" s="172" t="s">
        <v>246</v>
      </c>
      <c r="D41" s="374">
        <v>1</v>
      </c>
      <c r="E41" s="167">
        <f>384.79+926.2</f>
        <v>1310.99</v>
      </c>
      <c r="F41" s="622"/>
      <c r="G41" s="167" t="s">
        <v>1242</v>
      </c>
      <c r="H41" s="167" t="s">
        <v>1222</v>
      </c>
      <c r="I41" s="168" t="s">
        <v>1280</v>
      </c>
      <c r="J41" s="167" t="s">
        <v>1298</v>
      </c>
      <c r="K41" s="167" t="s">
        <v>1217</v>
      </c>
      <c r="L41" s="167" t="s">
        <v>1269</v>
      </c>
    </row>
    <row r="42" spans="1:12">
      <c r="A42" s="167"/>
      <c r="B42" s="168" t="s">
        <v>605</v>
      </c>
      <c r="C42" s="172" t="s">
        <v>2012</v>
      </c>
      <c r="D42" s="374">
        <v>1</v>
      </c>
      <c r="E42" s="167">
        <v>77</v>
      </c>
      <c r="F42" s="622"/>
      <c r="G42" s="167">
        <v>2024</v>
      </c>
      <c r="H42" s="167"/>
      <c r="I42" s="168" t="s">
        <v>1280</v>
      </c>
      <c r="J42" s="167" t="s">
        <v>1298</v>
      </c>
      <c r="K42" s="167" t="s">
        <v>1217</v>
      </c>
      <c r="L42" s="167" t="s">
        <v>2013</v>
      </c>
    </row>
    <row r="43" spans="1:12" ht="25.5">
      <c r="A43" s="167"/>
      <c r="B43" s="168" t="s">
        <v>605</v>
      </c>
      <c r="C43" s="172" t="s">
        <v>2014</v>
      </c>
      <c r="D43" s="374">
        <v>1</v>
      </c>
      <c r="E43" s="167">
        <v>260.89</v>
      </c>
      <c r="F43" s="622"/>
      <c r="G43" s="167">
        <v>2024</v>
      </c>
      <c r="H43" s="167"/>
      <c r="I43" s="168" t="s">
        <v>1280</v>
      </c>
      <c r="J43" s="167" t="s">
        <v>1298</v>
      </c>
      <c r="K43" s="167" t="s">
        <v>1217</v>
      </c>
      <c r="L43" s="167" t="s">
        <v>2015</v>
      </c>
    </row>
    <row r="44" spans="1:12" ht="25.5">
      <c r="A44" s="167"/>
      <c r="B44" s="168" t="s">
        <v>605</v>
      </c>
      <c r="C44" s="172" t="s">
        <v>2016</v>
      </c>
      <c r="D44" s="374">
        <v>1</v>
      </c>
      <c r="E44" s="167">
        <v>288</v>
      </c>
      <c r="F44" s="622"/>
      <c r="G44" s="167">
        <v>2024</v>
      </c>
      <c r="H44" s="167"/>
      <c r="I44" s="168" t="s">
        <v>1280</v>
      </c>
      <c r="J44" s="167" t="s">
        <v>1298</v>
      </c>
      <c r="K44" s="167" t="s">
        <v>1217</v>
      </c>
      <c r="L44" s="167" t="s">
        <v>2017</v>
      </c>
    </row>
    <row r="45" spans="1:12" ht="38.25">
      <c r="A45" s="167"/>
      <c r="B45" s="168" t="s">
        <v>605</v>
      </c>
      <c r="C45" s="172" t="s">
        <v>2018</v>
      </c>
      <c r="D45" s="374">
        <v>1</v>
      </c>
      <c r="E45" s="167">
        <v>72</v>
      </c>
      <c r="F45" s="622"/>
      <c r="G45" s="167">
        <v>2024</v>
      </c>
      <c r="H45" s="167"/>
      <c r="I45" s="168" t="s">
        <v>1280</v>
      </c>
      <c r="J45" s="167" t="s">
        <v>1298</v>
      </c>
      <c r="K45" s="167" t="s">
        <v>1217</v>
      </c>
      <c r="L45" s="167" t="s">
        <v>2019</v>
      </c>
    </row>
    <row r="46" spans="1:12">
      <c r="A46" s="167"/>
      <c r="B46" s="168" t="s">
        <v>605</v>
      </c>
      <c r="C46" s="172" t="s">
        <v>205</v>
      </c>
      <c r="D46" s="374">
        <v>1</v>
      </c>
      <c r="E46" s="167">
        <v>25.74</v>
      </c>
      <c r="F46" s="622"/>
      <c r="G46" s="167">
        <v>2024</v>
      </c>
      <c r="H46" s="167"/>
      <c r="I46" s="168" t="s">
        <v>1280</v>
      </c>
      <c r="J46" s="167" t="s">
        <v>1298</v>
      </c>
      <c r="K46" s="167" t="s">
        <v>1217</v>
      </c>
      <c r="L46" s="167" t="s">
        <v>2020</v>
      </c>
    </row>
    <row r="47" spans="1:12" s="212" customFormat="1">
      <c r="A47" s="447"/>
      <c r="B47" s="448" t="s">
        <v>605</v>
      </c>
      <c r="C47" s="446" t="s">
        <v>108</v>
      </c>
      <c r="D47" s="450">
        <v>1</v>
      </c>
      <c r="E47" s="447">
        <v>726.6</v>
      </c>
      <c r="F47" s="622"/>
      <c r="G47" s="447">
        <v>2026</v>
      </c>
      <c r="H47" s="447"/>
      <c r="I47" s="448" t="s">
        <v>1280</v>
      </c>
      <c r="J47" s="447" t="s">
        <v>1298</v>
      </c>
      <c r="K47" s="447" t="s">
        <v>1217</v>
      </c>
      <c r="L47" s="447"/>
    </row>
    <row r="48" spans="1:12" s="212" customFormat="1">
      <c r="A48" s="447"/>
      <c r="B48" s="448" t="s">
        <v>605</v>
      </c>
      <c r="C48" s="446" t="s">
        <v>2362</v>
      </c>
      <c r="D48" s="450">
        <v>1</v>
      </c>
      <c r="E48" s="447">
        <v>1963.53</v>
      </c>
      <c r="F48" s="622"/>
      <c r="G48" s="447">
        <v>2027</v>
      </c>
      <c r="H48" s="447"/>
      <c r="I48" s="448" t="s">
        <v>1280</v>
      </c>
      <c r="J48" s="447" t="s">
        <v>1298</v>
      </c>
      <c r="K48" s="447" t="s">
        <v>1217</v>
      </c>
      <c r="L48" s="447"/>
    </row>
    <row r="49" spans="1:12" s="212" customFormat="1">
      <c r="A49" s="447"/>
      <c r="B49" s="448" t="s">
        <v>605</v>
      </c>
      <c r="C49" s="446" t="s">
        <v>2365</v>
      </c>
      <c r="D49" s="450">
        <v>1</v>
      </c>
      <c r="E49" s="447">
        <v>19</v>
      </c>
      <c r="F49" s="622"/>
      <c r="G49" s="447">
        <v>2027</v>
      </c>
      <c r="H49" s="447"/>
      <c r="I49" s="448" t="s">
        <v>1280</v>
      </c>
      <c r="J49" s="447" t="s">
        <v>1298</v>
      </c>
      <c r="K49" s="447" t="s">
        <v>1217</v>
      </c>
      <c r="L49" s="447"/>
    </row>
    <row r="50" spans="1:12" s="212" customFormat="1">
      <c r="A50" s="447"/>
      <c r="B50" s="448" t="s">
        <v>605</v>
      </c>
      <c r="C50" s="446" t="s">
        <v>2366</v>
      </c>
      <c r="D50" s="450">
        <v>1</v>
      </c>
      <c r="E50" s="447">
        <v>122.53</v>
      </c>
      <c r="F50" s="622"/>
      <c r="G50" s="447">
        <v>2027</v>
      </c>
      <c r="H50" s="447"/>
      <c r="I50" s="448" t="s">
        <v>1280</v>
      </c>
      <c r="J50" s="447" t="s">
        <v>1298</v>
      </c>
      <c r="K50" s="447" t="s">
        <v>1217</v>
      </c>
      <c r="L50" s="447"/>
    </row>
    <row r="51" spans="1:12" s="212" customFormat="1">
      <c r="A51" s="447"/>
      <c r="B51" s="448" t="s">
        <v>605</v>
      </c>
      <c r="C51" s="446" t="s">
        <v>2363</v>
      </c>
      <c r="D51" s="450">
        <v>1</v>
      </c>
      <c r="E51" s="447">
        <v>18.420000000000002</v>
      </c>
      <c r="F51" s="622"/>
      <c r="G51" s="447">
        <v>2027</v>
      </c>
      <c r="H51" s="447"/>
      <c r="I51" s="448" t="s">
        <v>1280</v>
      </c>
      <c r="J51" s="447" t="s">
        <v>1298</v>
      </c>
      <c r="K51" s="447" t="s">
        <v>1217</v>
      </c>
      <c r="L51" s="447"/>
    </row>
    <row r="52" spans="1:12" s="212" customFormat="1">
      <c r="A52" s="447"/>
      <c r="B52" s="448" t="s">
        <v>605</v>
      </c>
      <c r="C52" s="446" t="s">
        <v>2364</v>
      </c>
      <c r="D52" s="450">
        <v>1</v>
      </c>
      <c r="E52" s="447">
        <v>23.4</v>
      </c>
      <c r="F52" s="622"/>
      <c r="G52" s="447">
        <v>2027</v>
      </c>
      <c r="H52" s="447"/>
      <c r="I52" s="448" t="s">
        <v>1280</v>
      </c>
      <c r="J52" s="447" t="s">
        <v>1298</v>
      </c>
      <c r="K52" s="447" t="s">
        <v>1217</v>
      </c>
      <c r="L52" s="447"/>
    </row>
    <row r="53" spans="1:12" ht="51">
      <c r="A53" s="167" t="s">
        <v>1222</v>
      </c>
      <c r="B53" s="169" t="s">
        <v>574</v>
      </c>
      <c r="C53" s="172" t="s">
        <v>575</v>
      </c>
      <c r="D53" s="373">
        <v>2</v>
      </c>
      <c r="E53" s="167">
        <v>5546.58</v>
      </c>
      <c r="F53" s="621">
        <f>SUM(E53:E58)</f>
        <v>8621.94</v>
      </c>
      <c r="G53" s="167">
        <v>2001</v>
      </c>
      <c r="H53" s="167" t="s">
        <v>1222</v>
      </c>
      <c r="I53" s="168" t="s">
        <v>1280</v>
      </c>
      <c r="J53" s="167" t="s">
        <v>1298</v>
      </c>
      <c r="K53" s="167" t="s">
        <v>1217</v>
      </c>
      <c r="L53" s="167" t="s">
        <v>1270</v>
      </c>
    </row>
    <row r="54" spans="1:12">
      <c r="A54" s="167" t="s">
        <v>1222</v>
      </c>
      <c r="B54" s="169" t="s">
        <v>574</v>
      </c>
      <c r="C54" s="172" t="s">
        <v>2</v>
      </c>
      <c r="D54" s="374">
        <v>1</v>
      </c>
      <c r="E54" s="167">
        <v>367.25</v>
      </c>
      <c r="F54" s="622"/>
      <c r="G54" s="167">
        <v>2009</v>
      </c>
      <c r="H54" s="167" t="s">
        <v>1222</v>
      </c>
      <c r="I54" s="168" t="s">
        <v>1280</v>
      </c>
      <c r="J54" s="167" t="s">
        <v>1298</v>
      </c>
      <c r="K54" s="167" t="s">
        <v>1217</v>
      </c>
      <c r="L54" s="167" t="s">
        <v>1271</v>
      </c>
    </row>
    <row r="55" spans="1:12">
      <c r="A55" s="167" t="s">
        <v>1222</v>
      </c>
      <c r="B55" s="169" t="s">
        <v>574</v>
      </c>
      <c r="C55" s="172" t="s">
        <v>632</v>
      </c>
      <c r="D55" s="374">
        <v>1</v>
      </c>
      <c r="E55" s="167">
        <v>209.12</v>
      </c>
      <c r="F55" s="622"/>
      <c r="G55" s="167">
        <v>2010</v>
      </c>
      <c r="H55" s="167" t="s">
        <v>1222</v>
      </c>
      <c r="I55" s="168" t="s">
        <v>1280</v>
      </c>
      <c r="J55" s="167" t="s">
        <v>1298</v>
      </c>
      <c r="K55" s="167" t="s">
        <v>1217</v>
      </c>
      <c r="L55" s="167" t="s">
        <v>1272</v>
      </c>
    </row>
    <row r="56" spans="1:12">
      <c r="A56" s="167" t="s">
        <v>1222</v>
      </c>
      <c r="B56" s="169" t="s">
        <v>574</v>
      </c>
      <c r="C56" s="172" t="s">
        <v>34</v>
      </c>
      <c r="D56" s="374">
        <v>1</v>
      </c>
      <c r="E56" s="167">
        <v>205.35</v>
      </c>
      <c r="F56" s="622"/>
      <c r="G56" s="167">
        <v>2013</v>
      </c>
      <c r="H56" s="167" t="s">
        <v>1222</v>
      </c>
      <c r="I56" s="168" t="s">
        <v>1280</v>
      </c>
      <c r="J56" s="167" t="s">
        <v>1298</v>
      </c>
      <c r="K56" s="167" t="s">
        <v>1217</v>
      </c>
      <c r="L56" s="167" t="s">
        <v>1273</v>
      </c>
    </row>
    <row r="57" spans="1:12">
      <c r="A57" s="167" t="s">
        <v>1222</v>
      </c>
      <c r="B57" s="169" t="s">
        <v>574</v>
      </c>
      <c r="C57" s="172" t="s">
        <v>576</v>
      </c>
      <c r="D57" s="374">
        <v>1</v>
      </c>
      <c r="E57" s="167">
        <v>88.64</v>
      </c>
      <c r="F57" s="622"/>
      <c r="G57" s="167">
        <v>2013</v>
      </c>
      <c r="H57" s="167" t="s">
        <v>1222</v>
      </c>
      <c r="I57" s="168" t="s">
        <v>1280</v>
      </c>
      <c r="J57" s="167" t="s">
        <v>1298</v>
      </c>
      <c r="K57" s="167" t="s">
        <v>1217</v>
      </c>
      <c r="L57" s="167" t="s">
        <v>1274</v>
      </c>
    </row>
    <row r="58" spans="1:12" ht="63.75">
      <c r="A58" s="167" t="s">
        <v>1222</v>
      </c>
      <c r="B58" s="169" t="s">
        <v>574</v>
      </c>
      <c r="C58" s="172" t="s">
        <v>1529</v>
      </c>
      <c r="D58" s="374">
        <v>2</v>
      </c>
      <c r="E58" s="167">
        <v>2205</v>
      </c>
      <c r="F58" s="623"/>
      <c r="G58" s="167">
        <v>2022</v>
      </c>
      <c r="H58" s="167"/>
      <c r="I58" s="168" t="s">
        <v>1280</v>
      </c>
      <c r="J58" s="167" t="s">
        <v>1298</v>
      </c>
      <c r="K58" s="167"/>
      <c r="L58" s="167" t="s">
        <v>2021</v>
      </c>
    </row>
    <row r="59" spans="1:12" ht="63.75">
      <c r="A59" s="167" t="s">
        <v>1222</v>
      </c>
      <c r="B59" s="169" t="s">
        <v>874</v>
      </c>
      <c r="C59" s="172" t="s">
        <v>1240</v>
      </c>
      <c r="D59" s="374">
        <v>1</v>
      </c>
      <c r="E59" s="167">
        <v>2472.3200000000002</v>
      </c>
      <c r="F59" s="168">
        <f>SUM(E59)</f>
        <v>2472.3200000000002</v>
      </c>
      <c r="G59" s="167">
        <v>2016</v>
      </c>
      <c r="H59" s="167" t="s">
        <v>1222</v>
      </c>
      <c r="I59" s="168" t="s">
        <v>1281</v>
      </c>
      <c r="J59" s="167" t="s">
        <v>1299</v>
      </c>
      <c r="K59" s="167" t="s">
        <v>1217</v>
      </c>
      <c r="L59" s="167" t="s">
        <v>2022</v>
      </c>
    </row>
    <row r="60" spans="1:12" ht="38.25">
      <c r="A60" s="167" t="s">
        <v>1222</v>
      </c>
      <c r="B60" s="169" t="s">
        <v>613</v>
      </c>
      <c r="C60" s="172" t="s">
        <v>1430</v>
      </c>
      <c r="D60" s="374">
        <v>1</v>
      </c>
      <c r="E60" s="167">
        <v>256</v>
      </c>
      <c r="F60" s="168">
        <v>256</v>
      </c>
      <c r="G60" s="167">
        <v>2021</v>
      </c>
      <c r="H60" s="167" t="s">
        <v>1222</v>
      </c>
      <c r="I60" s="168" t="s">
        <v>1281</v>
      </c>
      <c r="J60" s="167" t="s">
        <v>2023</v>
      </c>
      <c r="K60" s="167" t="s">
        <v>1217</v>
      </c>
      <c r="L60" s="167" t="s">
        <v>2024</v>
      </c>
    </row>
    <row r="61" spans="1:12">
      <c r="A61" s="375"/>
      <c r="B61" s="10"/>
      <c r="C61" s="376"/>
      <c r="D61" s="377"/>
      <c r="E61" s="375"/>
      <c r="F61" s="378"/>
      <c r="G61" s="378"/>
      <c r="H61" s="375"/>
      <c r="I61" s="378"/>
      <c r="J61" s="375"/>
      <c r="K61" s="375"/>
      <c r="L61" s="375"/>
    </row>
    <row r="62" spans="1:12">
      <c r="C62" s="5"/>
    </row>
    <row r="63" spans="1:12">
      <c r="C63" s="624" t="s">
        <v>2025</v>
      </c>
      <c r="D63" s="624"/>
      <c r="E63" s="624"/>
      <c r="F63" s="174">
        <f>SUM(F4:F60)</f>
        <v>64205.650000000009</v>
      </c>
    </row>
    <row r="64" spans="1:12">
      <c r="C64" s="624" t="s">
        <v>2026</v>
      </c>
      <c r="D64" s="624"/>
      <c r="E64" s="624"/>
      <c r="F64" s="174">
        <f>SUM(F4:F60)-F60-F59-F53</f>
        <v>52855.390000000007</v>
      </c>
    </row>
    <row r="65" spans="2:6">
      <c r="C65" s="5"/>
    </row>
    <row r="66" spans="2:6">
      <c r="C66" s="625" t="s">
        <v>2027</v>
      </c>
      <c r="D66" s="625"/>
    </row>
    <row r="67" spans="2:6" ht="39">
      <c r="C67" s="201" t="s">
        <v>1229</v>
      </c>
      <c r="D67" s="379" t="s">
        <v>2028</v>
      </c>
    </row>
    <row r="68" spans="2:6">
      <c r="C68" s="380" t="s">
        <v>1892</v>
      </c>
      <c r="D68" s="381">
        <f>F4</f>
        <v>38295.820000000007</v>
      </c>
    </row>
    <row r="69" spans="2:6">
      <c r="C69" s="380" t="s">
        <v>1893</v>
      </c>
      <c r="D69" s="381">
        <f>F32</f>
        <v>14559.57</v>
      </c>
    </row>
    <row r="70" spans="2:6">
      <c r="C70" s="380" t="s">
        <v>1894</v>
      </c>
      <c r="D70" s="381">
        <f>F53</f>
        <v>8621.94</v>
      </c>
    </row>
    <row r="71" spans="2:6">
      <c r="C71" s="380" t="s">
        <v>1895</v>
      </c>
      <c r="D71" s="381">
        <f>F59</f>
        <v>2472.3200000000002</v>
      </c>
    </row>
    <row r="72" spans="2:6">
      <c r="C72" s="380" t="s">
        <v>2029</v>
      </c>
      <c r="D72" s="382">
        <f>F60</f>
        <v>256</v>
      </c>
    </row>
    <row r="73" spans="2:6">
      <c r="C73" s="383" t="s">
        <v>563</v>
      </c>
      <c r="D73" s="384">
        <f>SUM(D68:D72)</f>
        <v>64205.650000000009</v>
      </c>
    </row>
    <row r="75" spans="2:6" ht="38.25">
      <c r="B75" s="166" t="s">
        <v>1229</v>
      </c>
      <c r="C75" s="166" t="s">
        <v>70</v>
      </c>
      <c r="D75" s="123" t="s">
        <v>1232</v>
      </c>
      <c r="E75" s="166" t="s">
        <v>1226</v>
      </c>
      <c r="F75" s="484" t="s">
        <v>2511</v>
      </c>
    </row>
    <row r="76" spans="2:6">
      <c r="B76" s="168" t="s">
        <v>1231</v>
      </c>
      <c r="C76" s="172" t="s">
        <v>1236</v>
      </c>
      <c r="D76" s="373">
        <v>1</v>
      </c>
      <c r="E76" s="167">
        <v>2977.35</v>
      </c>
      <c r="F76" s="48">
        <f>TRUNC(E76/D76,2)</f>
        <v>2977.35</v>
      </c>
    </row>
    <row r="77" spans="2:6">
      <c r="B77" s="168" t="s">
        <v>1231</v>
      </c>
      <c r="C77" s="172" t="s">
        <v>365</v>
      </c>
      <c r="D77" s="374">
        <v>2</v>
      </c>
      <c r="E77" s="167">
        <v>1605.48</v>
      </c>
      <c r="F77" s="48">
        <f t="shared" ref="F77:F132" si="0">TRUNC(E77/D77,2)</f>
        <v>802.74</v>
      </c>
    </row>
    <row r="78" spans="2:6">
      <c r="B78" s="168" t="s">
        <v>1231</v>
      </c>
      <c r="C78" s="172" t="s">
        <v>557</v>
      </c>
      <c r="D78" s="373">
        <v>1</v>
      </c>
      <c r="E78" s="167">
        <v>678.49</v>
      </c>
      <c r="F78" s="48">
        <f t="shared" si="0"/>
        <v>678.49</v>
      </c>
    </row>
    <row r="79" spans="2:6">
      <c r="B79" s="168" t="s">
        <v>1231</v>
      </c>
      <c r="C79" s="172" t="s">
        <v>372</v>
      </c>
      <c r="D79" s="374">
        <v>2</v>
      </c>
      <c r="E79" s="167">
        <v>1605.48</v>
      </c>
      <c r="F79" s="48">
        <f t="shared" si="0"/>
        <v>802.74</v>
      </c>
    </row>
    <row r="80" spans="2:6">
      <c r="B80" s="168" t="s">
        <v>1231</v>
      </c>
      <c r="C80" s="172" t="s">
        <v>558</v>
      </c>
      <c r="D80" s="373">
        <v>1</v>
      </c>
      <c r="E80" s="167">
        <v>678.49</v>
      </c>
      <c r="F80" s="48">
        <f t="shared" si="0"/>
        <v>678.49</v>
      </c>
    </row>
    <row r="81" spans="2:6">
      <c r="B81" s="168" t="s">
        <v>1231</v>
      </c>
      <c r="C81" s="172" t="s">
        <v>375</v>
      </c>
      <c r="D81" s="374">
        <v>2</v>
      </c>
      <c r="E81" s="167">
        <v>1605.48</v>
      </c>
      <c r="F81" s="48">
        <f t="shared" si="0"/>
        <v>802.74</v>
      </c>
    </row>
    <row r="82" spans="2:6">
      <c r="B82" s="168" t="s">
        <v>1231</v>
      </c>
      <c r="C82" s="172" t="s">
        <v>559</v>
      </c>
      <c r="D82" s="373">
        <v>1</v>
      </c>
      <c r="E82" s="167">
        <v>891</v>
      </c>
      <c r="F82" s="48">
        <f t="shared" si="0"/>
        <v>891</v>
      </c>
    </row>
    <row r="83" spans="2:6">
      <c r="B83" s="168" t="s">
        <v>1231</v>
      </c>
      <c r="C83" s="172" t="s">
        <v>376</v>
      </c>
      <c r="D83" s="374">
        <v>2</v>
      </c>
      <c r="E83" s="167">
        <v>2145.84</v>
      </c>
      <c r="F83" s="48">
        <f t="shared" si="0"/>
        <v>1072.92</v>
      </c>
    </row>
    <row r="84" spans="2:6">
      <c r="B84" s="168" t="s">
        <v>1231</v>
      </c>
      <c r="C84" s="172" t="s">
        <v>335</v>
      </c>
      <c r="D84" s="374">
        <v>1</v>
      </c>
      <c r="E84" s="167">
        <v>881.89</v>
      </c>
      <c r="F84" s="48">
        <f t="shared" si="0"/>
        <v>881.89</v>
      </c>
    </row>
    <row r="85" spans="2:6">
      <c r="B85" s="168" t="s">
        <v>1231</v>
      </c>
      <c r="C85" s="172" t="s">
        <v>387</v>
      </c>
      <c r="D85" s="374">
        <v>6</v>
      </c>
      <c r="E85" s="167">
        <v>3844.44</v>
      </c>
      <c r="F85" s="48">
        <f t="shared" si="0"/>
        <v>640.74</v>
      </c>
    </row>
    <row r="86" spans="2:6">
      <c r="B86" s="168" t="s">
        <v>1231</v>
      </c>
      <c r="C86" s="172" t="s">
        <v>560</v>
      </c>
      <c r="D86" s="374">
        <v>1</v>
      </c>
      <c r="E86" s="167">
        <v>891</v>
      </c>
      <c r="F86" s="48">
        <f t="shared" si="0"/>
        <v>891</v>
      </c>
    </row>
    <row r="87" spans="2:6">
      <c r="B87" s="168" t="s">
        <v>1231</v>
      </c>
      <c r="C87" s="172" t="s">
        <v>561</v>
      </c>
      <c r="D87" s="374">
        <v>6</v>
      </c>
      <c r="E87" s="167">
        <v>3844.44</v>
      </c>
      <c r="F87" s="48">
        <f t="shared" si="0"/>
        <v>640.74</v>
      </c>
    </row>
    <row r="88" spans="2:6">
      <c r="B88" s="168" t="s">
        <v>1231</v>
      </c>
      <c r="C88" s="172" t="s">
        <v>562</v>
      </c>
      <c r="D88" s="374">
        <v>1</v>
      </c>
      <c r="E88" s="167">
        <v>891</v>
      </c>
      <c r="F88" s="48">
        <f t="shared" si="0"/>
        <v>891</v>
      </c>
    </row>
    <row r="89" spans="2:6">
      <c r="B89" s="168" t="s">
        <v>1231</v>
      </c>
      <c r="C89" s="172" t="s">
        <v>511</v>
      </c>
      <c r="D89" s="374">
        <v>6</v>
      </c>
      <c r="E89" s="167">
        <v>3914.52</v>
      </c>
      <c r="F89" s="48">
        <f t="shared" si="0"/>
        <v>652.41999999999996</v>
      </c>
    </row>
    <row r="90" spans="2:6">
      <c r="B90" s="168" t="s">
        <v>1231</v>
      </c>
      <c r="C90" s="172" t="s">
        <v>512</v>
      </c>
      <c r="D90" s="374">
        <v>1</v>
      </c>
      <c r="E90" s="167">
        <v>891</v>
      </c>
      <c r="F90" s="48">
        <f t="shared" si="0"/>
        <v>891</v>
      </c>
    </row>
    <row r="91" spans="2:6">
      <c r="B91" s="168" t="s">
        <v>1231</v>
      </c>
      <c r="C91" s="172" t="s">
        <v>522</v>
      </c>
      <c r="D91" s="373">
        <v>3</v>
      </c>
      <c r="E91" s="167">
        <v>3722.88</v>
      </c>
      <c r="F91" s="48">
        <f t="shared" si="0"/>
        <v>1240.96</v>
      </c>
    </row>
    <row r="92" spans="2:6">
      <c r="B92" s="168" t="s">
        <v>1231</v>
      </c>
      <c r="C92" s="172" t="s">
        <v>1234</v>
      </c>
      <c r="D92" s="373">
        <v>1</v>
      </c>
      <c r="E92" s="167">
        <v>994.08</v>
      </c>
      <c r="F92" s="48">
        <f t="shared" si="0"/>
        <v>994.08</v>
      </c>
    </row>
    <row r="93" spans="2:6">
      <c r="B93" s="168" t="s">
        <v>1231</v>
      </c>
      <c r="C93" s="172" t="s">
        <v>1235</v>
      </c>
      <c r="D93" s="373">
        <v>1</v>
      </c>
      <c r="E93" s="167">
        <v>994.08</v>
      </c>
      <c r="F93" s="48">
        <f t="shared" si="0"/>
        <v>994.08</v>
      </c>
    </row>
    <row r="94" spans="2:6">
      <c r="B94" s="168" t="s">
        <v>1231</v>
      </c>
      <c r="C94" s="172" t="s">
        <v>1224</v>
      </c>
      <c r="D94" s="373">
        <v>1</v>
      </c>
      <c r="E94" s="167">
        <v>421.75</v>
      </c>
      <c r="F94" s="48">
        <f t="shared" si="0"/>
        <v>421.75</v>
      </c>
    </row>
    <row r="95" spans="2:6">
      <c r="B95" s="168" t="s">
        <v>1231</v>
      </c>
      <c r="C95" s="172" t="s">
        <v>1225</v>
      </c>
      <c r="D95" s="373">
        <v>1</v>
      </c>
      <c r="E95" s="167">
        <v>425.08000000000004</v>
      </c>
      <c r="F95" s="48">
        <f t="shared" si="0"/>
        <v>425.08</v>
      </c>
    </row>
    <row r="96" spans="2:6">
      <c r="B96" s="168" t="s">
        <v>1231</v>
      </c>
      <c r="C96" s="172" t="s">
        <v>1237</v>
      </c>
      <c r="D96" s="373">
        <v>1</v>
      </c>
      <c r="E96" s="167">
        <v>54</v>
      </c>
      <c r="F96" s="48">
        <f t="shared" si="0"/>
        <v>54</v>
      </c>
    </row>
    <row r="97" spans="2:6">
      <c r="B97" s="168" t="s">
        <v>1231</v>
      </c>
      <c r="C97" s="172" t="s">
        <v>1238</v>
      </c>
      <c r="D97" s="373">
        <v>1</v>
      </c>
      <c r="E97" s="167">
        <v>23.4</v>
      </c>
      <c r="F97" s="48">
        <f t="shared" si="0"/>
        <v>23.4</v>
      </c>
    </row>
    <row r="98" spans="2:6">
      <c r="B98" s="168" t="s">
        <v>1231</v>
      </c>
      <c r="C98" s="172" t="s">
        <v>1230</v>
      </c>
      <c r="D98" s="373">
        <v>1</v>
      </c>
      <c r="E98" s="167">
        <v>22.62</v>
      </c>
      <c r="F98" s="48">
        <f t="shared" si="0"/>
        <v>22.62</v>
      </c>
    </row>
    <row r="99" spans="2:6">
      <c r="B99" s="168" t="s">
        <v>1231</v>
      </c>
      <c r="C99" s="172" t="s">
        <v>1239</v>
      </c>
      <c r="D99" s="373">
        <v>1</v>
      </c>
      <c r="E99" s="167">
        <v>14.67</v>
      </c>
      <c r="F99" s="48">
        <f t="shared" si="0"/>
        <v>14.67</v>
      </c>
    </row>
    <row r="100" spans="2:6">
      <c r="B100" s="448" t="s">
        <v>1231</v>
      </c>
      <c r="C100" s="446" t="s">
        <v>2369</v>
      </c>
      <c r="D100" s="449">
        <v>1</v>
      </c>
      <c r="E100" s="447">
        <v>1626.36</v>
      </c>
      <c r="F100" s="48">
        <f t="shared" si="0"/>
        <v>1626.36</v>
      </c>
    </row>
    <row r="101" spans="2:6">
      <c r="B101" s="448" t="s">
        <v>1231</v>
      </c>
      <c r="C101" s="446" t="s">
        <v>2450</v>
      </c>
      <c r="D101" s="449">
        <v>1</v>
      </c>
      <c r="E101" s="447">
        <v>967</v>
      </c>
      <c r="F101" s="48">
        <f t="shared" si="0"/>
        <v>967</v>
      </c>
    </row>
    <row r="102" spans="2:6">
      <c r="B102" s="448" t="s">
        <v>1231</v>
      </c>
      <c r="C102" s="446" t="s">
        <v>246</v>
      </c>
      <c r="D102" s="449">
        <v>1</v>
      </c>
      <c r="E102" s="447">
        <v>368</v>
      </c>
      <c r="F102" s="48">
        <f t="shared" si="0"/>
        <v>368</v>
      </c>
    </row>
    <row r="103" spans="2:6">
      <c r="B103" s="448" t="s">
        <v>1231</v>
      </c>
      <c r="C103" s="446" t="s">
        <v>3</v>
      </c>
      <c r="D103" s="449">
        <v>1</v>
      </c>
      <c r="E103" s="447">
        <v>1316</v>
      </c>
      <c r="F103" s="48">
        <f t="shared" si="0"/>
        <v>1316</v>
      </c>
    </row>
    <row r="104" spans="2:6">
      <c r="B104" s="168" t="s">
        <v>605</v>
      </c>
      <c r="C104" s="172" t="s">
        <v>365</v>
      </c>
      <c r="D104" s="374">
        <v>1</v>
      </c>
      <c r="E104" s="167">
        <v>640.39</v>
      </c>
      <c r="F104" s="48">
        <f t="shared" si="0"/>
        <v>640.39</v>
      </c>
    </row>
    <row r="105" spans="2:6">
      <c r="B105" s="168" t="s">
        <v>605</v>
      </c>
      <c r="C105" s="172" t="s">
        <v>557</v>
      </c>
      <c r="D105" s="373">
        <v>1</v>
      </c>
      <c r="E105" s="167">
        <v>396.15</v>
      </c>
      <c r="F105" s="48">
        <f t="shared" si="0"/>
        <v>396.15</v>
      </c>
    </row>
    <row r="106" spans="2:6">
      <c r="B106" s="168" t="s">
        <v>605</v>
      </c>
      <c r="C106" s="172" t="s">
        <v>372</v>
      </c>
      <c r="D106" s="374">
        <v>1</v>
      </c>
      <c r="E106" s="167">
        <v>1291.8</v>
      </c>
      <c r="F106" s="48">
        <f t="shared" si="0"/>
        <v>1291.8</v>
      </c>
    </row>
    <row r="107" spans="2:6">
      <c r="B107" s="168" t="s">
        <v>605</v>
      </c>
      <c r="C107" s="172" t="s">
        <v>558</v>
      </c>
      <c r="D107" s="374">
        <v>1</v>
      </c>
      <c r="E107" s="167">
        <v>469.27</v>
      </c>
      <c r="F107" s="48">
        <f t="shared" si="0"/>
        <v>469.27</v>
      </c>
    </row>
    <row r="108" spans="2:6">
      <c r="B108" s="168" t="s">
        <v>605</v>
      </c>
      <c r="C108" s="172" t="s">
        <v>375</v>
      </c>
      <c r="D108" s="374">
        <v>1</v>
      </c>
      <c r="E108" s="167">
        <v>1291.8</v>
      </c>
      <c r="F108" s="48">
        <f t="shared" si="0"/>
        <v>1291.8</v>
      </c>
    </row>
    <row r="109" spans="2:6">
      <c r="B109" s="168" t="s">
        <v>605</v>
      </c>
      <c r="C109" s="172" t="s">
        <v>559</v>
      </c>
      <c r="D109" s="374">
        <v>1</v>
      </c>
      <c r="E109" s="167">
        <v>714</v>
      </c>
      <c r="F109" s="48">
        <f t="shared" si="0"/>
        <v>714</v>
      </c>
    </row>
    <row r="110" spans="2:6">
      <c r="B110" s="168" t="s">
        <v>605</v>
      </c>
      <c r="C110" s="172" t="s">
        <v>376</v>
      </c>
      <c r="D110" s="374">
        <v>6</v>
      </c>
      <c r="E110" s="167">
        <v>3844.44</v>
      </c>
      <c r="F110" s="48">
        <f t="shared" si="0"/>
        <v>640.74</v>
      </c>
    </row>
    <row r="111" spans="2:6">
      <c r="B111" s="168" t="s">
        <v>605</v>
      </c>
      <c r="C111" s="172" t="s">
        <v>1233</v>
      </c>
      <c r="D111" s="374">
        <v>1</v>
      </c>
      <c r="E111" s="167">
        <v>994.08</v>
      </c>
      <c r="F111" s="48">
        <f t="shared" si="0"/>
        <v>994.08</v>
      </c>
    </row>
    <row r="112" spans="2:6">
      <c r="B112" s="168" t="s">
        <v>605</v>
      </c>
      <c r="C112" s="172" t="s">
        <v>606</v>
      </c>
      <c r="D112" s="374">
        <v>1</v>
      </c>
      <c r="E112" s="167">
        <v>9.5399999999999991</v>
      </c>
      <c r="F112" s="48">
        <f t="shared" si="0"/>
        <v>9.5399999999999991</v>
      </c>
    </row>
    <row r="113" spans="2:6">
      <c r="B113" s="168" t="s">
        <v>605</v>
      </c>
      <c r="C113" s="172" t="s">
        <v>246</v>
      </c>
      <c r="D113" s="374">
        <v>1</v>
      </c>
      <c r="E113" s="167">
        <f>384.79+926.2</f>
        <v>1310.99</v>
      </c>
      <c r="F113" s="48">
        <f t="shared" si="0"/>
        <v>1310.99</v>
      </c>
    </row>
    <row r="114" spans="2:6">
      <c r="B114" s="168" t="s">
        <v>605</v>
      </c>
      <c r="C114" s="172" t="s">
        <v>2012</v>
      </c>
      <c r="D114" s="374">
        <v>1</v>
      </c>
      <c r="E114" s="167">
        <v>77</v>
      </c>
      <c r="F114" s="48">
        <f t="shared" si="0"/>
        <v>77</v>
      </c>
    </row>
    <row r="115" spans="2:6">
      <c r="B115" s="168" t="s">
        <v>605</v>
      </c>
      <c r="C115" s="172" t="s">
        <v>2014</v>
      </c>
      <c r="D115" s="374">
        <v>1</v>
      </c>
      <c r="E115" s="167">
        <v>260.89</v>
      </c>
      <c r="F115" s="48">
        <f t="shared" si="0"/>
        <v>260.89</v>
      </c>
    </row>
    <row r="116" spans="2:6">
      <c r="B116" s="168" t="s">
        <v>605</v>
      </c>
      <c r="C116" s="172" t="s">
        <v>2016</v>
      </c>
      <c r="D116" s="374">
        <v>1</v>
      </c>
      <c r="E116" s="167">
        <v>288</v>
      </c>
      <c r="F116" s="48">
        <f t="shared" si="0"/>
        <v>288</v>
      </c>
    </row>
    <row r="117" spans="2:6">
      <c r="B117" s="168" t="s">
        <v>605</v>
      </c>
      <c r="C117" s="172" t="s">
        <v>2018</v>
      </c>
      <c r="D117" s="374">
        <v>1</v>
      </c>
      <c r="E117" s="167">
        <v>72</v>
      </c>
      <c r="F117" s="48">
        <f t="shared" si="0"/>
        <v>72</v>
      </c>
    </row>
    <row r="118" spans="2:6">
      <c r="B118" s="168" t="s">
        <v>605</v>
      </c>
      <c r="C118" s="172" t="s">
        <v>205</v>
      </c>
      <c r="D118" s="374">
        <v>1</v>
      </c>
      <c r="E118" s="167">
        <v>25.74</v>
      </c>
      <c r="F118" s="48">
        <f t="shared" si="0"/>
        <v>25.74</v>
      </c>
    </row>
    <row r="119" spans="2:6">
      <c r="B119" s="448" t="s">
        <v>605</v>
      </c>
      <c r="C119" s="446" t="s">
        <v>108</v>
      </c>
      <c r="D119" s="450">
        <v>1</v>
      </c>
      <c r="E119" s="447">
        <v>726.6</v>
      </c>
      <c r="F119" s="48">
        <f t="shared" si="0"/>
        <v>726.6</v>
      </c>
    </row>
    <row r="120" spans="2:6">
      <c r="B120" s="448" t="s">
        <v>605</v>
      </c>
      <c r="C120" s="446" t="s">
        <v>2362</v>
      </c>
      <c r="D120" s="450">
        <v>1</v>
      </c>
      <c r="E120" s="447">
        <v>1963.53</v>
      </c>
      <c r="F120" s="48">
        <f t="shared" si="0"/>
        <v>1963.53</v>
      </c>
    </row>
    <row r="121" spans="2:6">
      <c r="B121" s="448" t="s">
        <v>605</v>
      </c>
      <c r="C121" s="446" t="s">
        <v>2365</v>
      </c>
      <c r="D121" s="450">
        <v>1</v>
      </c>
      <c r="E121" s="447">
        <v>19</v>
      </c>
      <c r="F121" s="48">
        <f t="shared" si="0"/>
        <v>19</v>
      </c>
    </row>
    <row r="122" spans="2:6">
      <c r="B122" s="448" t="s">
        <v>605</v>
      </c>
      <c r="C122" s="446" t="s">
        <v>2366</v>
      </c>
      <c r="D122" s="450">
        <v>1</v>
      </c>
      <c r="E122" s="447">
        <v>122.53</v>
      </c>
      <c r="F122" s="48">
        <f t="shared" si="0"/>
        <v>122.53</v>
      </c>
    </row>
    <row r="123" spans="2:6">
      <c r="B123" s="448" t="s">
        <v>605</v>
      </c>
      <c r="C123" s="446" t="s">
        <v>2363</v>
      </c>
      <c r="D123" s="450">
        <v>1</v>
      </c>
      <c r="E123" s="447">
        <v>18.420000000000002</v>
      </c>
      <c r="F123" s="48">
        <f t="shared" si="0"/>
        <v>18.420000000000002</v>
      </c>
    </row>
    <row r="124" spans="2:6">
      <c r="B124" s="448" t="s">
        <v>605</v>
      </c>
      <c r="C124" s="446" t="s">
        <v>2364</v>
      </c>
      <c r="D124" s="450">
        <v>1</v>
      </c>
      <c r="E124" s="447">
        <v>23.4</v>
      </c>
      <c r="F124" s="48">
        <f t="shared" si="0"/>
        <v>23.4</v>
      </c>
    </row>
    <row r="125" spans="2:6">
      <c r="B125" s="169" t="s">
        <v>574</v>
      </c>
      <c r="C125" s="172" t="s">
        <v>575</v>
      </c>
      <c r="D125" s="373">
        <v>2</v>
      </c>
      <c r="E125" s="167">
        <v>5546.58</v>
      </c>
      <c r="F125" s="48">
        <f t="shared" si="0"/>
        <v>2773.29</v>
      </c>
    </row>
    <row r="126" spans="2:6">
      <c r="B126" s="169" t="s">
        <v>574</v>
      </c>
      <c r="C126" s="172" t="s">
        <v>2</v>
      </c>
      <c r="D126" s="374">
        <v>1</v>
      </c>
      <c r="E126" s="167">
        <v>367.25</v>
      </c>
      <c r="F126" s="48">
        <f t="shared" si="0"/>
        <v>367.25</v>
      </c>
    </row>
    <row r="127" spans="2:6">
      <c r="B127" s="169" t="s">
        <v>574</v>
      </c>
      <c r="C127" s="172" t="s">
        <v>632</v>
      </c>
      <c r="D127" s="374">
        <v>1</v>
      </c>
      <c r="E127" s="167">
        <v>209.12</v>
      </c>
      <c r="F127" s="48">
        <f t="shared" si="0"/>
        <v>209.12</v>
      </c>
    </row>
    <row r="128" spans="2:6">
      <c r="B128" s="169" t="s">
        <v>574</v>
      </c>
      <c r="C128" s="172" t="s">
        <v>34</v>
      </c>
      <c r="D128" s="374">
        <v>1</v>
      </c>
      <c r="E128" s="167">
        <v>205.35</v>
      </c>
      <c r="F128" s="48">
        <f t="shared" si="0"/>
        <v>205.35</v>
      </c>
    </row>
    <row r="129" spans="2:7">
      <c r="B129" s="169" t="s">
        <v>574</v>
      </c>
      <c r="C129" s="172" t="s">
        <v>576</v>
      </c>
      <c r="D129" s="374">
        <v>1</v>
      </c>
      <c r="E129" s="167">
        <v>88.64</v>
      </c>
      <c r="F129" s="48">
        <f t="shared" si="0"/>
        <v>88.64</v>
      </c>
    </row>
    <row r="130" spans="2:7">
      <c r="B130" s="169" t="s">
        <v>574</v>
      </c>
      <c r="C130" s="172" t="s">
        <v>1529</v>
      </c>
      <c r="D130" s="374">
        <v>2</v>
      </c>
      <c r="E130" s="167">
        <v>2205</v>
      </c>
      <c r="F130" s="48">
        <f t="shared" si="0"/>
        <v>1102.5</v>
      </c>
    </row>
    <row r="131" spans="2:7">
      <c r="B131" s="169" t="s">
        <v>874</v>
      </c>
      <c r="C131" s="172" t="s">
        <v>1240</v>
      </c>
      <c r="D131" s="374">
        <v>1</v>
      </c>
      <c r="E131" s="167">
        <v>2472.3200000000002</v>
      </c>
      <c r="F131" s="48">
        <f t="shared" si="0"/>
        <v>2472.3200000000002</v>
      </c>
    </row>
    <row r="132" spans="2:7">
      <c r="B132" s="169" t="s">
        <v>613</v>
      </c>
      <c r="C132" s="172" t="s">
        <v>1430</v>
      </c>
      <c r="D132" s="374">
        <v>1</v>
      </c>
      <c r="E132" s="167">
        <v>256</v>
      </c>
      <c r="F132" s="48">
        <f t="shared" si="0"/>
        <v>256</v>
      </c>
    </row>
    <row r="134" spans="2:7">
      <c r="B134" s="448" t="s">
        <v>1231</v>
      </c>
      <c r="C134" s="446" t="s">
        <v>2369</v>
      </c>
      <c r="D134" s="449">
        <v>1</v>
      </c>
      <c r="E134" s="447">
        <v>1626.36</v>
      </c>
      <c r="F134" s="48">
        <f t="shared" ref="F134:F143" si="1">TRUNC(E134/D134,2)</f>
        <v>1626.36</v>
      </c>
      <c r="G134" t="s">
        <v>2519</v>
      </c>
    </row>
    <row r="135" spans="2:7">
      <c r="B135" s="448" t="s">
        <v>1231</v>
      </c>
      <c r="C135" s="446" t="s">
        <v>2450</v>
      </c>
      <c r="D135" s="449">
        <v>1</v>
      </c>
      <c r="E135" s="447">
        <v>967</v>
      </c>
      <c r="F135" s="48">
        <f t="shared" si="1"/>
        <v>967</v>
      </c>
      <c r="G135" t="s">
        <v>2519</v>
      </c>
    </row>
    <row r="136" spans="2:7">
      <c r="B136" s="448" t="s">
        <v>1231</v>
      </c>
      <c r="C136" s="446" t="s">
        <v>246</v>
      </c>
      <c r="D136" s="449">
        <v>1</v>
      </c>
      <c r="E136" s="447">
        <v>368</v>
      </c>
      <c r="F136" s="48">
        <f>TRUNC(E136/D136+40,2)</f>
        <v>408</v>
      </c>
      <c r="G136" t="s">
        <v>2519</v>
      </c>
    </row>
    <row r="137" spans="2:7">
      <c r="B137" s="448" t="s">
        <v>1231</v>
      </c>
      <c r="C137" s="446" t="s">
        <v>3</v>
      </c>
      <c r="D137" s="449">
        <v>1</v>
      </c>
      <c r="E137" s="447">
        <v>1316</v>
      </c>
      <c r="F137" s="48">
        <v>1300</v>
      </c>
      <c r="G137" t="s">
        <v>2519</v>
      </c>
    </row>
    <row r="138" spans="2:7">
      <c r="B138" s="448" t="s">
        <v>605</v>
      </c>
      <c r="C138" s="446" t="s">
        <v>108</v>
      </c>
      <c r="D138" s="450">
        <v>1</v>
      </c>
      <c r="E138" s="447">
        <v>726.6</v>
      </c>
      <c r="F138" s="48">
        <f t="shared" si="1"/>
        <v>726.6</v>
      </c>
      <c r="G138" t="s">
        <v>2519</v>
      </c>
    </row>
    <row r="139" spans="2:7">
      <c r="B139" s="448" t="s">
        <v>605</v>
      </c>
      <c r="C139" s="446" t="s">
        <v>2362</v>
      </c>
      <c r="D139" s="450">
        <v>1</v>
      </c>
      <c r="E139" s="447">
        <v>1963.53</v>
      </c>
      <c r="F139" s="48">
        <f t="shared" si="1"/>
        <v>1963.53</v>
      </c>
      <c r="G139" t="s">
        <v>2519</v>
      </c>
    </row>
    <row r="140" spans="2:7">
      <c r="B140" s="448" t="s">
        <v>605</v>
      </c>
      <c r="C140" s="446" t="s">
        <v>2365</v>
      </c>
      <c r="D140" s="450">
        <v>1</v>
      </c>
      <c r="E140" s="447">
        <v>19</v>
      </c>
      <c r="F140" s="48">
        <f t="shared" si="1"/>
        <v>19</v>
      </c>
      <c r="G140" t="s">
        <v>2519</v>
      </c>
    </row>
    <row r="141" spans="2:7">
      <c r="B141" s="448" t="s">
        <v>605</v>
      </c>
      <c r="C141" s="446" t="s">
        <v>2366</v>
      </c>
      <c r="D141" s="450">
        <v>1</v>
      </c>
      <c r="E141" s="447">
        <v>122.53</v>
      </c>
      <c r="F141" s="48">
        <f t="shared" si="1"/>
        <v>122.53</v>
      </c>
      <c r="G141" t="s">
        <v>2519</v>
      </c>
    </row>
    <row r="142" spans="2:7">
      <c r="B142" s="448" t="s">
        <v>605</v>
      </c>
      <c r="C142" s="446" t="s">
        <v>2363</v>
      </c>
      <c r="D142" s="450">
        <v>1</v>
      </c>
      <c r="E142" s="447">
        <v>18.420000000000002</v>
      </c>
      <c r="F142" s="48">
        <f t="shared" si="1"/>
        <v>18.420000000000002</v>
      </c>
      <c r="G142" t="s">
        <v>2519</v>
      </c>
    </row>
    <row r="143" spans="2:7">
      <c r="B143" s="448" t="s">
        <v>605</v>
      </c>
      <c r="C143" s="446" t="s">
        <v>2364</v>
      </c>
      <c r="D143" s="450">
        <v>1</v>
      </c>
      <c r="E143" s="447">
        <v>23.4</v>
      </c>
      <c r="F143" s="48">
        <f t="shared" si="1"/>
        <v>23.4</v>
      </c>
      <c r="G143" t="s">
        <v>2519</v>
      </c>
    </row>
    <row r="144" spans="2:7">
      <c r="C144" s="569" t="s">
        <v>2518</v>
      </c>
      <c r="D144" s="12"/>
      <c r="E144" s="48">
        <f>SUM(E139:E143)</f>
        <v>2146.88</v>
      </c>
      <c r="F144" s="48">
        <f>SUM(F139:F143)</f>
        <v>2146.88</v>
      </c>
      <c r="G144" t="s">
        <v>2519</v>
      </c>
    </row>
    <row r="145" spans="3:7">
      <c r="C145" s="446" t="s">
        <v>2520</v>
      </c>
      <c r="D145" s="12"/>
      <c r="E145" s="48"/>
      <c r="F145" s="48">
        <f>SUM(F134:F143)</f>
        <v>7174.8399999999992</v>
      </c>
      <c r="G145" t="s">
        <v>2519</v>
      </c>
    </row>
  </sheetData>
  <mergeCells count="8">
    <mergeCell ref="F53:F58"/>
    <mergeCell ref="C63:E63"/>
    <mergeCell ref="C64:E64"/>
    <mergeCell ref="C66:D66"/>
    <mergeCell ref="A1:L1"/>
    <mergeCell ref="A2:L2"/>
    <mergeCell ref="F32:F52"/>
    <mergeCell ref="F4:F31"/>
  </mergeCells>
  <phoneticPr fontId="14" type="noConversion"/>
  <pageMargins left="0.98425196850393704" right="0.51181102362204722" top="0.59055118110236227" bottom="0.59055118110236227" header="0.31496062992125984" footer="0.31496062992125984"/>
  <pageSetup paperSize="9" scale="57" fitToHeight="0" orientation="landscape" r:id="rId1"/>
  <headerFooter>
    <oddHeader>&amp;C&amp;F&amp;R&amp;A</oddHeader>
    <oddFooter>&amp;LÚLTIMA ATUALIZAÇÃO: 10/02/2025&amp;CUFCA/DINFRA - Pág &amp;P/&amp;N&amp;RSUPERVISÃO DO LEVANTAMENTO: Arq. LOUISE BARBOSA</oddFooter>
  </headerFooter>
  <rowBreaks count="1" manualBreakCount="1">
    <brk id="26" max="11" man="1"/>
  </rowBreaks>
  <colBreaks count="1" manualBreakCount="1">
    <brk id="12"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9ABC1-74D6-45B2-AF0D-A12E25966EA1}">
  <sheetPr>
    <tabColor theme="5" tint="0.59999389629810485"/>
    <pageSetUpPr fitToPage="1"/>
  </sheetPr>
  <dimension ref="A1:AM108"/>
  <sheetViews>
    <sheetView view="pageBreakPreview" topLeftCell="A14" zoomScale="96" zoomScaleNormal="100" zoomScaleSheetLayoutView="96" workbookViewId="0">
      <pane xSplit="1" topLeftCell="Q1" activePane="topRight" state="frozen"/>
      <selection pane="topRight" activeCell="W28" sqref="W28"/>
    </sheetView>
  </sheetViews>
  <sheetFormatPr defaultRowHeight="15"/>
  <cols>
    <col min="1" max="1" width="15" customWidth="1"/>
    <col min="2" max="2" width="24.42578125" bestFit="1" customWidth="1"/>
    <col min="3" max="3" width="21.7109375" bestFit="1" customWidth="1"/>
    <col min="4" max="4" width="21.28515625" customWidth="1"/>
    <col min="5" max="5" width="12.28515625" customWidth="1"/>
    <col min="6" max="6" width="11.5703125" customWidth="1"/>
    <col min="7" max="7" width="24.42578125" bestFit="1" customWidth="1"/>
    <col min="8" max="8" width="21.140625" bestFit="1" customWidth="1"/>
    <col min="9" max="9" width="19.28515625" bestFit="1" customWidth="1"/>
    <col min="11" max="11" width="17.85546875" bestFit="1" customWidth="1"/>
    <col min="12" max="12" width="24.42578125" bestFit="1" customWidth="1"/>
    <col min="13" max="14" width="21.140625" bestFit="1" customWidth="1"/>
    <col min="16" max="16" width="17.85546875" bestFit="1" customWidth="1"/>
    <col min="17" max="17" width="24.42578125" bestFit="1" customWidth="1"/>
    <col min="18" max="19" width="21.140625" bestFit="1" customWidth="1"/>
    <col min="21" max="21" width="17.85546875" bestFit="1" customWidth="1"/>
    <col min="22" max="22" width="24.42578125" bestFit="1" customWidth="1"/>
    <col min="23" max="23" width="21.140625" bestFit="1" customWidth="1"/>
    <col min="24" max="24" width="19.7109375" bestFit="1" customWidth="1"/>
    <col min="26" max="26" width="17.85546875" bestFit="1" customWidth="1"/>
    <col min="27" max="27" width="24.42578125" bestFit="1" customWidth="1"/>
    <col min="28" max="28" width="21.140625" bestFit="1" customWidth="1"/>
    <col min="29" max="29" width="19.7109375" bestFit="1" customWidth="1"/>
    <col min="31" max="31" width="19.5703125" bestFit="1" customWidth="1"/>
  </cols>
  <sheetData>
    <row r="1" spans="1:38">
      <c r="A1" s="629" t="s">
        <v>574</v>
      </c>
      <c r="B1" s="630"/>
      <c r="C1" s="630"/>
      <c r="D1" s="630"/>
      <c r="E1" s="219"/>
      <c r="F1" s="219"/>
      <c r="H1" s="805"/>
      <c r="I1" s="805"/>
      <c r="L1" s="805"/>
      <c r="M1" s="805"/>
      <c r="N1" s="805"/>
      <c r="Q1" s="805"/>
      <c r="R1" s="805"/>
      <c r="S1" s="805"/>
      <c r="V1" s="805"/>
      <c r="W1" s="805"/>
      <c r="X1" s="805"/>
      <c r="AA1" s="805"/>
      <c r="AB1" s="805"/>
      <c r="AC1" s="805"/>
      <c r="AE1" t="s">
        <v>1530</v>
      </c>
      <c r="AF1" s="805"/>
      <c r="AG1" s="805"/>
      <c r="AH1" s="805"/>
      <c r="AK1" s="805"/>
      <c r="AL1" s="805"/>
    </row>
    <row r="2" spans="1:38" ht="45">
      <c r="A2" s="232" t="s">
        <v>1469</v>
      </c>
      <c r="B2" s="18">
        <v>4387.26</v>
      </c>
      <c r="C2" s="232" t="s">
        <v>1470</v>
      </c>
      <c r="D2" s="256">
        <v>5546.58</v>
      </c>
      <c r="E2" s="219"/>
      <c r="F2" s="232" t="s">
        <v>1469</v>
      </c>
      <c r="G2" s="18">
        <v>771.27</v>
      </c>
      <c r="H2" s="232" t="s">
        <v>1470</v>
      </c>
      <c r="I2" s="110">
        <v>367.25</v>
      </c>
      <c r="K2" s="232" t="s">
        <v>1469</v>
      </c>
      <c r="L2" s="18">
        <v>626.48</v>
      </c>
      <c r="M2" s="232" t="s">
        <v>1470</v>
      </c>
      <c r="N2" s="256">
        <v>88.64</v>
      </c>
      <c r="P2" s="232" t="s">
        <v>1469</v>
      </c>
      <c r="Q2" s="18">
        <v>478.13</v>
      </c>
      <c r="R2" s="232" t="s">
        <v>1470</v>
      </c>
      <c r="S2" s="256">
        <v>205.35</v>
      </c>
      <c r="U2" s="232" t="s">
        <v>1469</v>
      </c>
      <c r="V2" s="18">
        <v>820.04</v>
      </c>
      <c r="W2" s="232" t="s">
        <v>1470</v>
      </c>
      <c r="X2" s="256">
        <v>209.12</v>
      </c>
      <c r="Z2" s="232" t="s">
        <v>1469</v>
      </c>
      <c r="AA2" s="18">
        <v>7164.82</v>
      </c>
      <c r="AB2" s="232" t="s">
        <v>1470</v>
      </c>
      <c r="AC2" s="256">
        <v>2205</v>
      </c>
      <c r="AE2">
        <f>SUM(B2,G2,L2,Q2,V2,AA2)</f>
        <v>14248</v>
      </c>
      <c r="AF2" s="86"/>
      <c r="AG2" s="86"/>
      <c r="AH2" s="86"/>
      <c r="AK2" s="86"/>
      <c r="AL2" s="86"/>
    </row>
    <row r="3" spans="1:38">
      <c r="D3" s="18" t="s">
        <v>1531</v>
      </c>
      <c r="E3" s="3"/>
      <c r="I3" s="18" t="s">
        <v>2</v>
      </c>
      <c r="N3" s="18" t="s">
        <v>610</v>
      </c>
      <c r="S3" s="18" t="s">
        <v>1313</v>
      </c>
      <c r="X3" s="18" t="s">
        <v>632</v>
      </c>
      <c r="AC3" s="12" t="s">
        <v>1529</v>
      </c>
      <c r="AF3" s="3"/>
      <c r="AG3" s="3"/>
      <c r="AH3" s="3"/>
      <c r="AK3" s="3"/>
      <c r="AL3" s="3"/>
    </row>
    <row r="4" spans="1:38">
      <c r="A4" s="790" t="s">
        <v>1367</v>
      </c>
      <c r="B4" s="64" t="s">
        <v>1361</v>
      </c>
      <c r="C4" s="64" t="s">
        <v>249</v>
      </c>
      <c r="D4" s="196">
        <f>SUMIF('UFCA - BA'!$F$4:$F$117,C4,'UFCA - BA'!$I$4:$I$117)</f>
        <v>358.57999999999993</v>
      </c>
      <c r="F4" s="790" t="s">
        <v>1367</v>
      </c>
      <c r="G4" s="64" t="s">
        <v>1361</v>
      </c>
      <c r="H4" s="64" t="s">
        <v>249</v>
      </c>
      <c r="I4" s="196">
        <f>SUMIF('UFCA - BA'!$F$118:$F$134,H4,'UFCA - BA'!$I$118:$I$134)</f>
        <v>10.18</v>
      </c>
      <c r="K4" s="790" t="s">
        <v>1367</v>
      </c>
      <c r="L4" s="64" t="s">
        <v>1361</v>
      </c>
      <c r="M4" s="64" t="s">
        <v>249</v>
      </c>
      <c r="N4" s="196">
        <f>SUMIF('UFCA - BA'!$F$143,M4,'UFCA - BA'!$I$143)</f>
        <v>0</v>
      </c>
      <c r="P4" s="790" t="s">
        <v>1367</v>
      </c>
      <c r="Q4" s="64" t="s">
        <v>1361</v>
      </c>
      <c r="R4" s="64" t="s">
        <v>249</v>
      </c>
      <c r="S4" s="196">
        <f>SUMIF('UFCA - BA'!$F$143,R4,'UFCA - BA'!$I$143)</f>
        <v>0</v>
      </c>
      <c r="U4" s="790" t="s">
        <v>1367</v>
      </c>
      <c r="V4" s="64" t="s">
        <v>1361</v>
      </c>
      <c r="W4" s="64" t="s">
        <v>249</v>
      </c>
      <c r="X4" s="196">
        <f>SUMIF('UFCA - BA'!$F$135:$F$142,W4,'UFCA - BA'!$I$135:$I$142)</f>
        <v>39.03</v>
      </c>
      <c r="Z4" s="790" t="s">
        <v>1367</v>
      </c>
      <c r="AA4" s="64" t="s">
        <v>1361</v>
      </c>
      <c r="AB4" s="64" t="s">
        <v>249</v>
      </c>
      <c r="AC4" s="196">
        <f>SUMIF('UFCA - BA'!$F$157:$F$230,AB4,'UFCA - BA'!$I$157:$I$230)</f>
        <v>0</v>
      </c>
      <c r="AE4" s="3"/>
    </row>
    <row r="5" spans="1:38">
      <c r="A5" s="790"/>
      <c r="B5" s="96" t="s">
        <v>1363</v>
      </c>
      <c r="C5" s="48" t="s">
        <v>1364</v>
      </c>
      <c r="D5" s="196">
        <f>SUMIF('UFCA - BA'!$F$4:$F$117,C5,'UFCA - BA'!$I$4:$I$117)</f>
        <v>0</v>
      </c>
      <c r="F5" s="790"/>
      <c r="G5" s="96" t="s">
        <v>1363</v>
      </c>
      <c r="H5" s="48" t="s">
        <v>1364</v>
      </c>
      <c r="I5" s="196">
        <f>SUMIF('UFCA - BA'!$F$118:$F$134,H5,'UFCA - BA'!$I$118:$I$134)</f>
        <v>0</v>
      </c>
      <c r="K5" s="790"/>
      <c r="L5" s="96" t="s">
        <v>1363</v>
      </c>
      <c r="M5" s="48" t="s">
        <v>1364</v>
      </c>
      <c r="N5" s="196">
        <f>SUMIF('UFCA - BA'!$F$143,M5,'UFCA - BA'!$I$143)</f>
        <v>0</v>
      </c>
      <c r="P5" s="790"/>
      <c r="Q5" s="96" t="s">
        <v>1363</v>
      </c>
      <c r="R5" s="48" t="s">
        <v>1364</v>
      </c>
      <c r="S5" s="196">
        <v>0</v>
      </c>
      <c r="U5" s="790"/>
      <c r="V5" s="96" t="s">
        <v>1363</v>
      </c>
      <c r="W5" s="48" t="s">
        <v>1364</v>
      </c>
      <c r="X5" s="196">
        <f>SUMIF('UFCA - BA'!$F$135:$F$142,W5,'UFCA - BA'!$I$135:$I$142)</f>
        <v>0</v>
      </c>
      <c r="Z5" s="790"/>
      <c r="AA5" s="96" t="s">
        <v>1363</v>
      </c>
      <c r="AB5" s="48" t="s">
        <v>1364</v>
      </c>
      <c r="AC5" s="196">
        <f>SUMIF('UFCA - BA'!$F$157:$F$230,AB5,'UFCA - BA'!$I$157:$I$230)</f>
        <v>145.94</v>
      </c>
    </row>
    <row r="6" spans="1:38">
      <c r="A6" s="790" t="s">
        <v>1368</v>
      </c>
      <c r="B6" s="791" t="s">
        <v>1365</v>
      </c>
      <c r="C6" s="64" t="s">
        <v>27</v>
      </c>
      <c r="D6" s="196">
        <f>SUMIF('UFCA - BA'!$F$4:$F$117,C6,'UFCA - BA'!$I$4:$I$117)</f>
        <v>13.25</v>
      </c>
      <c r="F6" s="790" t="s">
        <v>1368</v>
      </c>
      <c r="G6" s="791" t="s">
        <v>1365</v>
      </c>
      <c r="H6" s="64" t="s">
        <v>27</v>
      </c>
      <c r="I6" s="196">
        <f>SUMIF('UFCA - BA'!$F$118:$F$134,H6,'UFCA - BA'!$I$118:$I$134)</f>
        <v>0</v>
      </c>
      <c r="K6" s="790" t="s">
        <v>1368</v>
      </c>
      <c r="L6" s="791" t="s">
        <v>1365</v>
      </c>
      <c r="M6" s="64" t="s">
        <v>27</v>
      </c>
      <c r="N6" s="196">
        <f>SUMIF('UFCA - BA'!$F$143,M6,'UFCA - BA'!$I$143)</f>
        <v>0</v>
      </c>
      <c r="P6" s="790" t="s">
        <v>1368</v>
      </c>
      <c r="Q6" s="791" t="s">
        <v>1365</v>
      </c>
      <c r="R6" s="64" t="s">
        <v>27</v>
      </c>
      <c r="S6" s="196">
        <v>0</v>
      </c>
      <c r="U6" s="790" t="s">
        <v>1368</v>
      </c>
      <c r="V6" s="791" t="s">
        <v>1365</v>
      </c>
      <c r="W6" s="64" t="s">
        <v>27</v>
      </c>
      <c r="X6" s="196">
        <f>SUMIF('UFCA - BA'!$F$135:$F$142,W6,'UFCA - BA'!$I$135:$I$142)</f>
        <v>0</v>
      </c>
      <c r="Z6" s="790" t="s">
        <v>1368</v>
      </c>
      <c r="AA6" s="791" t="s">
        <v>1365</v>
      </c>
      <c r="AB6" s="64" t="s">
        <v>27</v>
      </c>
      <c r="AC6" s="196">
        <f>SUMIF('UFCA - BA'!$F$157:$F$230,AB6,'UFCA - BA'!$I$157:$I$230)</f>
        <v>0</v>
      </c>
    </row>
    <row r="7" spans="1:38">
      <c r="A7" s="790"/>
      <c r="B7" s="791"/>
      <c r="C7" s="64" t="s">
        <v>355</v>
      </c>
      <c r="D7" s="196">
        <f>SUMIF('UFCA - BA'!$F$4:$F$117,C7,'UFCA - BA'!$I$4:$I$117)</f>
        <v>59.59</v>
      </c>
      <c r="F7" s="790"/>
      <c r="G7" s="791"/>
      <c r="H7" s="64" t="s">
        <v>355</v>
      </c>
      <c r="I7" s="196">
        <f>SUMIF('UFCA - BA'!$F$118:$F$134,H7,'UFCA - BA'!$I$118:$I$134)</f>
        <v>0</v>
      </c>
      <c r="K7" s="790"/>
      <c r="L7" s="791"/>
      <c r="M7" s="64" t="s">
        <v>355</v>
      </c>
      <c r="N7" s="196">
        <f>SUMIF('UFCA - BA'!$F$143,M7,'UFCA - BA'!$I$143)</f>
        <v>0</v>
      </c>
      <c r="P7" s="790"/>
      <c r="Q7" s="791"/>
      <c r="R7" s="64" t="s">
        <v>355</v>
      </c>
      <c r="S7" s="196">
        <v>0</v>
      </c>
      <c r="U7" s="790"/>
      <c r="V7" s="791"/>
      <c r="W7" s="64" t="s">
        <v>355</v>
      </c>
      <c r="X7" s="196">
        <f>SUMIF('UFCA - BA'!$F$135:$F$142,W7,'UFCA - BA'!$I$135:$I$142)</f>
        <v>64.66</v>
      </c>
      <c r="Z7" s="790"/>
      <c r="AA7" s="791"/>
      <c r="AB7" s="64" t="s">
        <v>355</v>
      </c>
      <c r="AC7" s="196">
        <f>SUMIF('UFCA - BA'!$F$157:$F$230,AB7,'UFCA - BA'!$I$157:$I$230)</f>
        <v>49.9</v>
      </c>
    </row>
    <row r="8" spans="1:38">
      <c r="A8" s="790"/>
      <c r="B8" s="791"/>
      <c r="C8" s="64" t="s">
        <v>192</v>
      </c>
      <c r="D8" s="196">
        <f>SUMIF('UFCA - BA'!$F$4:$F$117,C8,'UFCA - BA'!$I$4:$I$117)</f>
        <v>182.07</v>
      </c>
      <c r="F8" s="790"/>
      <c r="G8" s="791"/>
      <c r="H8" s="64" t="s">
        <v>192</v>
      </c>
      <c r="I8" s="196">
        <f>SUMIF('UFCA - BA'!$F$118:$F$134,H8,'UFCA - BA'!$I$118:$I$134)</f>
        <v>10.36</v>
      </c>
      <c r="K8" s="790"/>
      <c r="L8" s="791"/>
      <c r="M8" s="64" t="s">
        <v>192</v>
      </c>
      <c r="N8" s="196">
        <f>SUMIF('UFCA - BA'!$F$143,M8,'UFCA - BA'!$I$143)</f>
        <v>0</v>
      </c>
      <c r="P8" s="790"/>
      <c r="Q8" s="791"/>
      <c r="R8" s="64" t="s">
        <v>192</v>
      </c>
      <c r="S8" s="196">
        <v>0</v>
      </c>
      <c r="U8" s="790"/>
      <c r="V8" s="791"/>
      <c r="W8" s="64" t="s">
        <v>192</v>
      </c>
      <c r="X8" s="196">
        <f>SUMIF('UFCA - BA'!$F$135:$F$142,W8,'UFCA - BA'!$I$135:$I$142)</f>
        <v>4.72</v>
      </c>
      <c r="Z8" s="790"/>
      <c r="AA8" s="791"/>
      <c r="AB8" s="64" t="s">
        <v>192</v>
      </c>
      <c r="AC8" s="196">
        <f>SUMIF('UFCA - BA'!$F$157:$F$230,AB8,'UFCA - BA'!$I$157:$I$230)</f>
        <v>115.44999999999999</v>
      </c>
    </row>
    <row r="9" spans="1:38">
      <c r="A9" s="791" t="s">
        <v>1372</v>
      </c>
      <c r="B9" s="791" t="s">
        <v>1449</v>
      </c>
      <c r="C9" s="64" t="s">
        <v>194</v>
      </c>
      <c r="D9" s="196">
        <f>SUMIF('UFCA - BA'!$F$4:$F$117,C9,'UFCA - BA'!$I$4:$I$117)</f>
        <v>1163.9100000000001</v>
      </c>
      <c r="F9" s="791" t="s">
        <v>1372</v>
      </c>
      <c r="G9" s="791" t="s">
        <v>1449</v>
      </c>
      <c r="H9" s="64" t="s">
        <v>194</v>
      </c>
      <c r="I9" s="196">
        <f>SUMIF('UFCA - BA'!$F$118:$F$134,H9,'UFCA - BA'!$I$118:$I$134)</f>
        <v>64.91</v>
      </c>
      <c r="K9" s="791" t="s">
        <v>1372</v>
      </c>
      <c r="L9" s="791" t="s">
        <v>1449</v>
      </c>
      <c r="M9" s="64" t="s">
        <v>194</v>
      </c>
      <c r="N9" s="196">
        <f>SUMIF('UFCA - BA'!$F$143,M9,'UFCA - BA'!$I$143)</f>
        <v>0</v>
      </c>
      <c r="P9" s="791" t="s">
        <v>1372</v>
      </c>
      <c r="Q9" s="791" t="s">
        <v>1449</v>
      </c>
      <c r="R9" s="64" t="s">
        <v>194</v>
      </c>
      <c r="S9" s="196">
        <v>0</v>
      </c>
      <c r="U9" s="791" t="s">
        <v>1372</v>
      </c>
      <c r="V9" s="791" t="s">
        <v>1449</v>
      </c>
      <c r="W9" s="64" t="s">
        <v>194</v>
      </c>
      <c r="X9" s="196">
        <f>SUMIF('UFCA - BA'!$F$135:$F$142,W9,'UFCA - BA'!$I$135:$I$142)</f>
        <v>67.48</v>
      </c>
      <c r="Z9" s="791" t="s">
        <v>1372</v>
      </c>
      <c r="AA9" s="791" t="s">
        <v>1449</v>
      </c>
      <c r="AB9" s="64" t="s">
        <v>194</v>
      </c>
      <c r="AC9" s="196">
        <f>SUMIF('UFCA - BA'!$F$157:$F$230,AB9,'UFCA - BA'!$I$157:$I$230)</f>
        <v>416.18</v>
      </c>
    </row>
    <row r="10" spans="1:38">
      <c r="A10" s="791"/>
      <c r="B10" s="791"/>
      <c r="C10" s="64" t="s">
        <v>524</v>
      </c>
      <c r="D10" s="196">
        <f>SUMIF('UFCA - BA'!$F$4:$F$117,C10,'UFCA - BA'!$I$4:$I$117)</f>
        <v>0</v>
      </c>
      <c r="F10" s="791"/>
      <c r="G10" s="791"/>
      <c r="H10" s="64" t="s">
        <v>524</v>
      </c>
      <c r="I10" s="196">
        <f>SUMIF('UFCA - BA'!$F$118:$F$134,H10,'UFCA - BA'!$I$118:$I$134)</f>
        <v>0</v>
      </c>
      <c r="K10" s="791"/>
      <c r="L10" s="791"/>
      <c r="M10" s="64" t="s">
        <v>524</v>
      </c>
      <c r="N10" s="196"/>
      <c r="P10" s="791"/>
      <c r="Q10" s="791"/>
      <c r="R10" s="64" t="s">
        <v>524</v>
      </c>
      <c r="S10" s="196"/>
      <c r="U10" s="791"/>
      <c r="V10" s="791"/>
      <c r="W10" s="64" t="s">
        <v>524</v>
      </c>
      <c r="X10" s="196"/>
      <c r="Z10" s="791"/>
      <c r="AA10" s="791"/>
      <c r="AB10" s="64" t="s">
        <v>524</v>
      </c>
      <c r="AC10" s="196">
        <f>SUMIF('UFCA - BA'!$F$157:$F$230,AB10,'UFCA - BA'!$I$157:$I$230)</f>
        <v>59.46</v>
      </c>
    </row>
    <row r="11" spans="1:38">
      <c r="A11" s="791"/>
      <c r="B11" s="791"/>
      <c r="C11" s="64" t="s">
        <v>1497</v>
      </c>
      <c r="D11" s="196">
        <f>SUMIF('UFCA - BA'!$F$4:$F$117,C11,'UFCA - BA'!$I$4:$I$117)</f>
        <v>0</v>
      </c>
      <c r="F11" s="791"/>
      <c r="G11" s="791"/>
      <c r="H11" s="64" t="s">
        <v>1497</v>
      </c>
      <c r="I11" s="196">
        <f>SUMIF('UFCA - BA'!$F$118:$F$134,H11,'UFCA - BA'!$I$118:$I$134)</f>
        <v>0</v>
      </c>
      <c r="K11" s="791"/>
      <c r="L11" s="791"/>
      <c r="M11" s="64" t="s">
        <v>1497</v>
      </c>
      <c r="N11" s="196">
        <f>SUMIF('UFCA - BA'!$F$143,M11,'UFCA - BA'!$I$143)</f>
        <v>0</v>
      </c>
      <c r="P11" s="791"/>
      <c r="Q11" s="791"/>
      <c r="R11" s="64" t="s">
        <v>1497</v>
      </c>
      <c r="S11" s="196">
        <v>0</v>
      </c>
      <c r="U11" s="791"/>
      <c r="V11" s="791"/>
      <c r="W11" s="64" t="s">
        <v>1497</v>
      </c>
      <c r="X11" s="196">
        <f>SUMIF('UFCA - BA'!$F$135:$F$142,W11,'UFCA - BA'!$I$135:$I$142)</f>
        <v>0</v>
      </c>
      <c r="Z11" s="791"/>
      <c r="AA11" s="791"/>
      <c r="AB11" s="64" t="s">
        <v>1497</v>
      </c>
      <c r="AC11" s="196">
        <f>SUMIF('UFCA - BA'!$F$157:$F$230,AB11,'UFCA - BA'!$I$157:$I$230)</f>
        <v>0</v>
      </c>
    </row>
    <row r="12" spans="1:38">
      <c r="A12" s="791"/>
      <c r="B12" s="791"/>
      <c r="C12" s="64" t="s">
        <v>821</v>
      </c>
      <c r="D12" s="196">
        <f>SUMIF('UFCA - BA'!$F$4:$F$117,C12,'UFCA - BA'!$I$4:$I$117)</f>
        <v>0</v>
      </c>
      <c r="F12" s="791"/>
      <c r="G12" s="791"/>
      <c r="H12" s="64" t="s">
        <v>821</v>
      </c>
      <c r="I12" s="196">
        <f>SUMIF('UFCA - BA'!$F$118:$F$134,H12,'UFCA - BA'!$I$118:$I$134)</f>
        <v>0</v>
      </c>
      <c r="K12" s="791"/>
      <c r="L12" s="791"/>
      <c r="M12" s="64" t="s">
        <v>821</v>
      </c>
      <c r="N12" s="196">
        <f>SUMIF('UFCA - BA'!$F$143,M12,'UFCA - BA'!$I$143)</f>
        <v>0</v>
      </c>
      <c r="P12" s="791"/>
      <c r="Q12" s="791"/>
      <c r="R12" s="64" t="s">
        <v>821</v>
      </c>
      <c r="S12" s="196">
        <v>0</v>
      </c>
      <c r="U12" s="791"/>
      <c r="V12" s="791"/>
      <c r="W12" s="64" t="s">
        <v>821</v>
      </c>
      <c r="X12" s="196">
        <f>SUMIF('UFCA - BA'!$F$135:$F$142,W12,'UFCA - BA'!$I$135:$I$142)</f>
        <v>0</v>
      </c>
      <c r="Z12" s="791"/>
      <c r="AA12" s="791"/>
      <c r="AB12" s="64" t="s">
        <v>821</v>
      </c>
      <c r="AC12" s="196">
        <f>SUMIF('UFCA - BA'!$F$157:$F$230,AB12,'UFCA - BA'!$I$157:$I$230)</f>
        <v>0</v>
      </c>
    </row>
    <row r="13" spans="1:38">
      <c r="A13" s="791"/>
      <c r="B13" s="791"/>
      <c r="C13" s="258" t="s">
        <v>1528</v>
      </c>
      <c r="D13" s="196">
        <f>SUMIF('UFCA - BA'!$F$4:$F$117,C13,'UFCA - BA'!$I$4:$I$117)</f>
        <v>0</v>
      </c>
      <c r="F13" s="791"/>
      <c r="G13" s="791"/>
      <c r="H13" s="64" t="s">
        <v>610</v>
      </c>
      <c r="I13" s="196">
        <f>SUMIF('UFCA - BA'!$F$118:$F$134,H13,'UFCA - BA'!$I$118:$I$134)</f>
        <v>0</v>
      </c>
      <c r="K13" s="791"/>
      <c r="L13" s="791"/>
      <c r="M13" s="64" t="s">
        <v>610</v>
      </c>
      <c r="N13" s="196">
        <f>SUMIF('UFCA - BA'!$F$143,M13,'UFCA - BA'!$I$143)</f>
        <v>78</v>
      </c>
      <c r="P13" s="791"/>
      <c r="Q13" s="791"/>
      <c r="R13" s="64" t="s">
        <v>610</v>
      </c>
      <c r="S13" s="196">
        <v>0</v>
      </c>
      <c r="U13" s="791"/>
      <c r="V13" s="791"/>
      <c r="W13" s="64" t="s">
        <v>610</v>
      </c>
      <c r="X13" s="196">
        <f>SUMIF('UFCA - BA'!$F$135:$F$142,W13,'UFCA - BA'!$I$135:$I$142)</f>
        <v>0</v>
      </c>
      <c r="Z13" s="791"/>
      <c r="AA13" s="791"/>
      <c r="AB13" s="64" t="s">
        <v>610</v>
      </c>
      <c r="AC13" s="196">
        <f>SUMIF('UFCA - BA'!$F$157:$F$230,AB13,'UFCA - BA'!$I$157:$I$230)</f>
        <v>0</v>
      </c>
    </row>
    <row r="14" spans="1:38">
      <c r="A14" s="791"/>
      <c r="B14" s="791"/>
      <c r="C14" s="64" t="s">
        <v>1370</v>
      </c>
      <c r="D14" s="196">
        <f>SUMIF('UFCA - BA'!$F$4:$F$117,C14,'UFCA - BA'!$I$4:$I$117)</f>
        <v>0</v>
      </c>
      <c r="F14" s="791"/>
      <c r="G14" s="791"/>
      <c r="H14" s="64" t="s">
        <v>1370</v>
      </c>
      <c r="I14" s="196">
        <f>SUMIF('UFCA - BA'!$F$118:$F$134,H14,'UFCA - BA'!$I$118:$I$134)</f>
        <v>0</v>
      </c>
      <c r="K14" s="791"/>
      <c r="L14" s="791"/>
      <c r="M14" s="64" t="s">
        <v>1370</v>
      </c>
      <c r="N14" s="196">
        <f>SUMIF('UFCA - BA'!$F$143,M14,'UFCA - BA'!$I$143)</f>
        <v>0</v>
      </c>
      <c r="P14" s="791"/>
      <c r="Q14" s="791"/>
      <c r="R14" s="64" t="s">
        <v>1370</v>
      </c>
      <c r="S14" s="196">
        <v>0</v>
      </c>
      <c r="U14" s="791"/>
      <c r="V14" s="791"/>
      <c r="W14" s="64" t="s">
        <v>1370</v>
      </c>
      <c r="X14" s="196">
        <f>SUMIF('UFCA - BA'!$F$135:$F$142,W14,'UFCA - BA'!$I$135:$I$142)</f>
        <v>0</v>
      </c>
      <c r="Z14" s="791"/>
      <c r="AA14" s="791"/>
      <c r="AB14" s="64" t="s">
        <v>1370</v>
      </c>
      <c r="AC14" s="196">
        <f>SUMIF('UFCA - BA'!$F$157:$F$230,AB14,'UFCA - BA'!$I$157:$I$230)</f>
        <v>0</v>
      </c>
    </row>
    <row r="15" spans="1:38">
      <c r="A15" s="791" t="s">
        <v>1373</v>
      </c>
      <c r="B15" s="789"/>
      <c r="C15" s="64" t="s">
        <v>175</v>
      </c>
      <c r="D15" s="196">
        <f>SUMIF('UFCA - BA'!$F$4:$F$117,C15,'UFCA - BA'!$I$4:$I$117)</f>
        <v>577.62</v>
      </c>
      <c r="F15" s="791" t="s">
        <v>1373</v>
      </c>
      <c r="G15" s="789"/>
      <c r="H15" s="64" t="s">
        <v>175</v>
      </c>
      <c r="I15" s="196">
        <f>SUMIF('UFCA - BA'!$F$118:$F$134,H15,'UFCA - BA'!$I$118:$I$134)</f>
        <v>16.100000000000001</v>
      </c>
      <c r="K15" s="791" t="s">
        <v>1373</v>
      </c>
      <c r="L15" s="789"/>
      <c r="M15" s="64" t="s">
        <v>175</v>
      </c>
      <c r="N15" s="196">
        <f>SUMIF('UFCA - BA'!$F$143,M15,'UFCA - BA'!$I$143)</f>
        <v>0</v>
      </c>
      <c r="P15" s="791" t="s">
        <v>1373</v>
      </c>
      <c r="Q15" s="789"/>
      <c r="R15" s="64" t="s">
        <v>175</v>
      </c>
      <c r="S15" s="196">
        <v>0</v>
      </c>
      <c r="U15" s="791" t="s">
        <v>1373</v>
      </c>
      <c r="V15" s="789"/>
      <c r="W15" s="64" t="s">
        <v>175</v>
      </c>
      <c r="X15" s="196">
        <f>SUMIF('UFCA - BA'!$F$135:$F$142,W15,'UFCA - BA'!$I$135:$I$142)</f>
        <v>0</v>
      </c>
      <c r="Z15" s="791" t="s">
        <v>1373</v>
      </c>
      <c r="AA15" s="789"/>
      <c r="AB15" s="64" t="s">
        <v>175</v>
      </c>
      <c r="AC15" s="196">
        <f>SUMIF('UFCA - BA'!$F$157:$F$230,AB15,'UFCA - BA'!$I$157:$I$230)</f>
        <v>369.2000000000001</v>
      </c>
    </row>
    <row r="16" spans="1:38">
      <c r="A16" s="791"/>
      <c r="B16" s="789"/>
      <c r="C16" s="64" t="s">
        <v>109</v>
      </c>
      <c r="D16" s="196">
        <f>SUMIF('UFCA - BA'!$F$4:$F$117,C16,'UFCA - BA'!$I$4:$I$117)</f>
        <v>360.75</v>
      </c>
      <c r="F16" s="791"/>
      <c r="G16" s="789"/>
      <c r="H16" s="64" t="s">
        <v>109</v>
      </c>
      <c r="I16" s="196">
        <f>SUMIF('UFCA - BA'!$F$118:$F$134,H16,'UFCA - BA'!$I$118:$I$134)</f>
        <v>0</v>
      </c>
      <c r="K16" s="791"/>
      <c r="L16" s="789"/>
      <c r="M16" s="64" t="s">
        <v>109</v>
      </c>
      <c r="N16" s="196">
        <f>SUMIF('UFCA - BA'!$F$143,M16,'UFCA - BA'!$I$143)</f>
        <v>0</v>
      </c>
      <c r="P16" s="791"/>
      <c r="Q16" s="789"/>
      <c r="R16" s="64" t="s">
        <v>109</v>
      </c>
      <c r="S16" s="196">
        <v>0</v>
      </c>
      <c r="U16" s="791"/>
      <c r="V16" s="789"/>
      <c r="W16" s="64" t="s">
        <v>109</v>
      </c>
      <c r="X16" s="196">
        <f>SUMIF('UFCA - BA'!$F$135:$F$142,W16,'UFCA - BA'!$I$135:$I$142)</f>
        <v>0</v>
      </c>
      <c r="Z16" s="791"/>
      <c r="AA16" s="789"/>
      <c r="AB16" s="64" t="s">
        <v>109</v>
      </c>
      <c r="AC16" s="196">
        <f>SUMIF('UFCA - BA'!$F$157:$F$230,AB16,'UFCA - BA'!$I$157:$I$230)</f>
        <v>0</v>
      </c>
    </row>
    <row r="17" spans="1:39">
      <c r="A17" s="791"/>
      <c r="B17" s="789"/>
      <c r="C17" s="257" t="s">
        <v>1527</v>
      </c>
      <c r="D17" s="62">
        <f>SUMIF('UFCA - BA'!$F$4:$F$117,C17,'UFCA - BA'!$I$4:$I$117)</f>
        <v>0</v>
      </c>
      <c r="F17" s="791"/>
      <c r="G17" s="789"/>
      <c r="H17" s="64" t="s">
        <v>1313</v>
      </c>
      <c r="I17" s="196">
        <f>SUMIF('UFCA - BA'!$F$118:$F$134,H17,'UFCA - BA'!$I$118:$I$134)</f>
        <v>0</v>
      </c>
      <c r="K17" s="791"/>
      <c r="L17" s="789"/>
      <c r="M17" s="64" t="s">
        <v>1313</v>
      </c>
      <c r="N17" s="196">
        <f>SUMIF('UFCA - BA'!$F$143,M17,'UFCA - BA'!$I$143)</f>
        <v>0</v>
      </c>
      <c r="P17" s="791"/>
      <c r="Q17" s="789"/>
      <c r="R17" s="64" t="s">
        <v>1313</v>
      </c>
      <c r="S17" s="196">
        <f>SUMIF('UFCA - BA'!$F$53,R17,'UFCA - BA'!$I$53)</f>
        <v>163</v>
      </c>
      <c r="U17" s="791"/>
      <c r="V17" s="789"/>
      <c r="W17" s="64" t="s">
        <v>1313</v>
      </c>
      <c r="X17" s="196">
        <f>SUMIF('UFCA - BA'!$F$135:$F$142,W17,'UFCA - BA'!$I$135:$I$142)</f>
        <v>0</v>
      </c>
      <c r="Z17" s="791"/>
      <c r="AA17" s="789"/>
      <c r="AB17" s="64" t="s">
        <v>1313</v>
      </c>
      <c r="AC17" s="196">
        <f>SUMIF('UFCA - BA'!$F$157:$F$230,AB17,'UFCA - BA'!$I$157:$I$230)</f>
        <v>0</v>
      </c>
    </row>
    <row r="18" spans="1:39">
      <c r="A18" s="791"/>
      <c r="B18" s="789"/>
      <c r="C18" s="64" t="s">
        <v>110</v>
      </c>
      <c r="D18" s="196">
        <f>SUMIF('UFCA - BA'!$F$4:$F$117,C18,'UFCA - BA'!$I$4:$I$117)</f>
        <v>360.75</v>
      </c>
      <c r="F18" s="791"/>
      <c r="G18" s="789"/>
      <c r="H18" s="64" t="s">
        <v>110</v>
      </c>
      <c r="I18" s="196">
        <f>SUMIF('UFCA - BA'!$F$118:$F$134,H18,'UFCA - BA'!$I$118:$I$134)</f>
        <v>0</v>
      </c>
      <c r="K18" s="791"/>
      <c r="L18" s="789"/>
      <c r="M18" s="64" t="s">
        <v>110</v>
      </c>
      <c r="N18" s="196">
        <f>SUMIF('UFCA - BA'!$F$143,M18,'UFCA - BA'!$I$143)</f>
        <v>0</v>
      </c>
      <c r="P18" s="791"/>
      <c r="Q18" s="789"/>
      <c r="R18" s="64" t="s">
        <v>110</v>
      </c>
      <c r="S18" s="196">
        <v>0</v>
      </c>
      <c r="U18" s="791"/>
      <c r="V18" s="789"/>
      <c r="W18" s="64" t="s">
        <v>110</v>
      </c>
      <c r="X18" s="196">
        <f>SUMIF('UFCA - BA'!$F$135:$F$142,W18,'UFCA - BA'!$I$135:$I$142)</f>
        <v>0</v>
      </c>
      <c r="Z18" s="791"/>
      <c r="AA18" s="789"/>
      <c r="AB18" s="64" t="s">
        <v>110</v>
      </c>
      <c r="AC18" s="196">
        <f>SUMIF('UFCA - BA'!$F$157:$F$230,AB18,'UFCA - BA'!$I$157:$I$230)</f>
        <v>0</v>
      </c>
    </row>
    <row r="19" spans="1:39">
      <c r="A19" s="791"/>
      <c r="B19" s="789"/>
      <c r="C19" s="64" t="s">
        <v>211</v>
      </c>
      <c r="D19" s="196">
        <f>SUMIF('UFCA - BA'!$F$4:$F$117,C19,'UFCA - BA'!$I$4:$I$117)</f>
        <v>19.309999999999999</v>
      </c>
      <c r="F19" s="791"/>
      <c r="G19" s="789"/>
      <c r="H19" s="64" t="s">
        <v>211</v>
      </c>
      <c r="I19" s="196">
        <f>SUMIF('UFCA - BA'!$F$118:$F$134,H19,'UFCA - BA'!$I$118:$I$134)</f>
        <v>0</v>
      </c>
      <c r="K19" s="791"/>
      <c r="L19" s="789"/>
      <c r="M19" s="64" t="s">
        <v>211</v>
      </c>
      <c r="N19" s="196">
        <f>SUMIF('UFCA - BA'!$F$143,M19,'UFCA - BA'!$I$143)</f>
        <v>0</v>
      </c>
      <c r="P19" s="791"/>
      <c r="Q19" s="789"/>
      <c r="R19" s="64" t="s">
        <v>211</v>
      </c>
      <c r="S19" s="196">
        <v>0</v>
      </c>
      <c r="U19" s="791"/>
      <c r="V19" s="789"/>
      <c r="W19" s="64" t="s">
        <v>211</v>
      </c>
      <c r="X19" s="196">
        <f>SUMIF('UFCA - BA'!$F$135:$F$142,W19,'UFCA - BA'!$I$135:$I$142)</f>
        <v>7.66</v>
      </c>
      <c r="Z19" s="791"/>
      <c r="AA19" s="789"/>
      <c r="AB19" s="64" t="s">
        <v>211</v>
      </c>
      <c r="AC19" s="196">
        <f>SUMIF('UFCA - BA'!$F$157:$F$230,AB19,'UFCA - BA'!$I$157:$I$230)</f>
        <v>0</v>
      </c>
    </row>
    <row r="20" spans="1:39">
      <c r="A20" s="791"/>
      <c r="B20" s="789"/>
      <c r="C20" s="64" t="s">
        <v>1371</v>
      </c>
      <c r="D20" s="196">
        <f>SUMIF('UFCA - BA'!$F$4:$F$117,C20,'UFCA - BA'!$I$4:$I$117)</f>
        <v>0</v>
      </c>
      <c r="F20" s="791"/>
      <c r="G20" s="789"/>
      <c r="H20" s="64" t="s">
        <v>1371</v>
      </c>
      <c r="I20" s="196">
        <f>SUMIF('UFCA - BA'!$F$118:$F$134,H20,'UFCA - BA'!$I$118:$I$134)</f>
        <v>0</v>
      </c>
      <c r="K20" s="791"/>
      <c r="L20" s="789"/>
      <c r="M20" s="64" t="s">
        <v>1371</v>
      </c>
      <c r="N20" s="196">
        <f>SUMIF('UFCA - BA'!$F$143,M20,'UFCA - BA'!$I$143)</f>
        <v>0</v>
      </c>
      <c r="P20" s="791"/>
      <c r="Q20" s="789"/>
      <c r="R20" s="64" t="s">
        <v>1371</v>
      </c>
      <c r="S20" s="196">
        <v>0</v>
      </c>
      <c r="U20" s="791"/>
      <c r="V20" s="789"/>
      <c r="W20" s="64" t="s">
        <v>1371</v>
      </c>
      <c r="X20" s="196">
        <f>SUMIF('UFCA - BA'!$F$135:$F$142,W20,'UFCA - BA'!$I$135:$I$142)</f>
        <v>0</v>
      </c>
      <c r="Z20" s="791"/>
      <c r="AA20" s="789"/>
      <c r="AB20" s="64" t="s">
        <v>1371</v>
      </c>
      <c r="AC20" s="196">
        <f>SUMIF('UFCA - BA'!$F$157:$F$230,AB20,'UFCA - BA'!$I$157:$I$230)</f>
        <v>0</v>
      </c>
    </row>
    <row r="21" spans="1:39">
      <c r="A21" s="791"/>
      <c r="B21" s="789"/>
      <c r="C21" s="64" t="s">
        <v>248</v>
      </c>
      <c r="D21" s="196">
        <f>SUMIF('UFCA - BA'!$F$4:$F$117,C21,'UFCA - BA'!$I$4:$I$117)</f>
        <v>678.60000000000025</v>
      </c>
      <c r="F21" s="791"/>
      <c r="G21" s="789"/>
      <c r="H21" s="64" t="s">
        <v>248</v>
      </c>
      <c r="I21" s="196">
        <f>SUMIF('UFCA - BA'!$F$118:$F$134,H21,'UFCA - BA'!$I$118:$I$134)</f>
        <v>0</v>
      </c>
      <c r="K21" s="791"/>
      <c r="L21" s="789"/>
      <c r="M21" s="64" t="s">
        <v>248</v>
      </c>
      <c r="N21" s="196">
        <f>SUMIF('UFCA - BA'!$F$143,M21,'UFCA - BA'!$I$143)</f>
        <v>0</v>
      </c>
      <c r="P21" s="791"/>
      <c r="Q21" s="789"/>
      <c r="R21" s="64" t="s">
        <v>248</v>
      </c>
      <c r="S21" s="196">
        <v>0</v>
      </c>
      <c r="U21" s="791"/>
      <c r="V21" s="789"/>
      <c r="W21" s="64" t="s">
        <v>248</v>
      </c>
      <c r="X21" s="196">
        <f>SUMIF('UFCA - BA'!$F$135:$F$142,W21,'UFCA - BA'!$I$135:$I$142)</f>
        <v>0</v>
      </c>
      <c r="Z21" s="791"/>
      <c r="AA21" s="789"/>
      <c r="AB21" s="64" t="s">
        <v>248</v>
      </c>
      <c r="AC21" s="196">
        <f>SUMIF('UFCA - BA'!$F$157:$F$230,AB21,'UFCA - BA'!$I$157:$I$230)</f>
        <v>491.35</v>
      </c>
    </row>
    <row r="22" spans="1:39">
      <c r="A22" s="791"/>
      <c r="B22" s="789"/>
      <c r="C22" s="64" t="s">
        <v>208</v>
      </c>
      <c r="D22" s="196">
        <f>SUMIF('UFCA - BA'!$F$4:$F$117,C22,'UFCA - BA'!$I$4:$I$117)</f>
        <v>0</v>
      </c>
      <c r="F22" s="791"/>
      <c r="G22" s="789"/>
      <c r="H22" s="64" t="s">
        <v>208</v>
      </c>
      <c r="I22" s="196">
        <f>SUMIF('UFCA - BA'!$F$118:$F$134,H22,'UFCA - BA'!$I$118:$I$134)</f>
        <v>0</v>
      </c>
      <c r="K22" s="791"/>
      <c r="L22" s="789"/>
      <c r="M22" s="64" t="s">
        <v>208</v>
      </c>
      <c r="N22" s="196">
        <f>SUMIF('UFCA - BA'!$F$143,M22,'UFCA - BA'!$I$143)</f>
        <v>0</v>
      </c>
      <c r="P22" s="791"/>
      <c r="Q22" s="789"/>
      <c r="R22" s="64" t="s">
        <v>208</v>
      </c>
      <c r="S22" s="196">
        <v>0</v>
      </c>
      <c r="U22" s="791"/>
      <c r="V22" s="789"/>
      <c r="W22" s="64" t="s">
        <v>208</v>
      </c>
      <c r="X22" s="196">
        <f>SUMIF('UFCA - BA'!$F$135:$F$142,W22,'UFCA - BA'!$I$135:$I$142)</f>
        <v>0</v>
      </c>
      <c r="Z22" s="791"/>
      <c r="AA22" s="789"/>
      <c r="AB22" s="64" t="s">
        <v>208</v>
      </c>
      <c r="AC22" s="196">
        <f>SUMIF('UFCA - BA'!$F$157:$F$230,AB22,'UFCA - BA'!$I$157:$I$230)</f>
        <v>109.18999999999998</v>
      </c>
    </row>
    <row r="23" spans="1:39">
      <c r="A23" s="791"/>
      <c r="B23" s="789"/>
      <c r="C23" s="64" t="s">
        <v>596</v>
      </c>
      <c r="D23" s="196">
        <f>SUMIF('UFCA - BA'!$F$4:$F$117,C23,'UFCA - BA'!$I$4:$I$117)</f>
        <v>769.02</v>
      </c>
      <c r="F23" s="791"/>
      <c r="G23" s="789"/>
      <c r="H23" s="64" t="s">
        <v>596</v>
      </c>
      <c r="I23" s="196">
        <f>SUMIF('UFCA - BA'!$F$118:$F$134,H23,'UFCA - BA'!$I$118:$I$134)</f>
        <v>0</v>
      </c>
      <c r="K23" s="791"/>
      <c r="L23" s="789"/>
      <c r="M23" s="64" t="s">
        <v>596</v>
      </c>
      <c r="N23" s="196">
        <f>SUMIF('UFCA - BA'!$F$143,M23,'UFCA - BA'!$I$143)</f>
        <v>0</v>
      </c>
      <c r="P23" s="791"/>
      <c r="Q23" s="789"/>
      <c r="R23" s="64" t="s">
        <v>596</v>
      </c>
      <c r="S23" s="196">
        <v>0</v>
      </c>
      <c r="U23" s="791"/>
      <c r="V23" s="789"/>
      <c r="W23" s="64" t="s">
        <v>596</v>
      </c>
      <c r="X23" s="196">
        <f>SUMIF('UFCA - BA'!$F$135:$F$142,W23,'UFCA - BA'!$I$135:$I$142)</f>
        <v>0</v>
      </c>
      <c r="Z23" s="791"/>
      <c r="AA23" s="789"/>
      <c r="AB23" s="64" t="s">
        <v>596</v>
      </c>
      <c r="AC23" s="196">
        <f>SUMIF('UFCA - BA'!$F$157:$F$230,AB23,'UFCA - BA'!$I$157:$I$230)</f>
        <v>0</v>
      </c>
    </row>
    <row r="24" spans="1:39">
      <c r="A24" s="791"/>
      <c r="B24" s="789"/>
      <c r="C24" s="64" t="s">
        <v>593</v>
      </c>
      <c r="D24" s="196">
        <f>SUMIF('UFCA - BA'!$F$4:$F$117,C24,'UFCA - BA'!$I$4:$I$117)</f>
        <v>0</v>
      </c>
      <c r="F24" s="791"/>
      <c r="G24" s="789"/>
      <c r="H24" s="64" t="s">
        <v>593</v>
      </c>
      <c r="I24" s="196">
        <f>SUMIF('UFCA - BA'!$F$118:$F$134,H24,'UFCA - BA'!$I$118:$I$134)</f>
        <v>0</v>
      </c>
      <c r="K24" s="791"/>
      <c r="L24" s="789"/>
      <c r="M24" s="64" t="s">
        <v>593</v>
      </c>
      <c r="N24" s="196">
        <f>SUMIF('UFCA - BA'!$F$143,M24,'UFCA - BA'!$I$143)</f>
        <v>0</v>
      </c>
      <c r="P24" s="791"/>
      <c r="Q24" s="789"/>
      <c r="R24" s="64" t="s">
        <v>593</v>
      </c>
      <c r="S24" s="196">
        <v>0</v>
      </c>
      <c r="U24" s="791"/>
      <c r="V24" s="789"/>
      <c r="W24" s="64" t="s">
        <v>593</v>
      </c>
      <c r="X24" s="196">
        <f>SUMIF('UFCA - BA'!$F$135:$F$142,W24,'UFCA - BA'!$I$135:$I$142)</f>
        <v>0</v>
      </c>
      <c r="Z24" s="791"/>
      <c r="AA24" s="789"/>
      <c r="AB24" s="64" t="s">
        <v>593</v>
      </c>
      <c r="AC24" s="196">
        <f>SUMIF('UFCA - BA'!$F$157:$F$230,AB24,'UFCA - BA'!$I$157:$I$230)</f>
        <v>0</v>
      </c>
    </row>
    <row r="25" spans="1:39">
      <c r="A25" s="791"/>
      <c r="B25" s="789"/>
      <c r="C25" s="64" t="s">
        <v>598</v>
      </c>
      <c r="D25" s="196">
        <f>SUMIF('UFCA - BA'!$F$4:$F$117,C25,'UFCA - BA'!$I$4:$I$117)</f>
        <v>0</v>
      </c>
      <c r="F25" s="791"/>
      <c r="G25" s="789"/>
      <c r="H25" s="64" t="s">
        <v>598</v>
      </c>
      <c r="I25" s="196">
        <f>SUMIF('UFCA - BA'!$F$118:$F$134,H25,'UFCA - BA'!$I$118:$I$134)</f>
        <v>102.04</v>
      </c>
      <c r="K25" s="791"/>
      <c r="L25" s="789"/>
      <c r="M25" s="64" t="s">
        <v>598</v>
      </c>
      <c r="N25" s="196">
        <f>SUMIF('UFCA - BA'!$F$143,M25,'UFCA - BA'!$I$143)</f>
        <v>0</v>
      </c>
      <c r="P25" s="791"/>
      <c r="Q25" s="789"/>
      <c r="R25" s="64" t="s">
        <v>598</v>
      </c>
      <c r="S25" s="196">
        <v>0</v>
      </c>
      <c r="U25" s="791"/>
      <c r="V25" s="789"/>
      <c r="W25" s="64" t="s">
        <v>598</v>
      </c>
      <c r="X25" s="196">
        <f>SUMIF('UFCA - BA'!$F$135:$F$142,W25,'UFCA - BA'!$I$135:$I$142)</f>
        <v>0</v>
      </c>
      <c r="Z25" s="791"/>
      <c r="AA25" s="789"/>
      <c r="AB25" s="64" t="s">
        <v>598</v>
      </c>
      <c r="AC25" s="196">
        <f>SUMIF('UFCA - BA'!$F$157:$F$230,AB25,'UFCA - BA'!$I$157:$I$230)</f>
        <v>0</v>
      </c>
    </row>
    <row r="26" spans="1:39">
      <c r="A26" s="791"/>
      <c r="B26" s="789"/>
      <c r="C26" s="64" t="s">
        <v>595</v>
      </c>
      <c r="D26" s="196">
        <f>SUMIF('UFCA - BA'!$F$4:$F$117,C26,'UFCA - BA'!$I$4:$I$117)</f>
        <v>0</v>
      </c>
      <c r="F26" s="791"/>
      <c r="G26" s="789"/>
      <c r="H26" s="64" t="s">
        <v>595</v>
      </c>
      <c r="I26" s="196">
        <f>SUMIF('UFCA - BA'!$F$118:$F$134,H26,'UFCA - BA'!$I$118:$I$134)</f>
        <v>0</v>
      </c>
      <c r="K26" s="791"/>
      <c r="L26" s="789"/>
      <c r="M26" s="64" t="s">
        <v>595</v>
      </c>
      <c r="N26" s="196">
        <f>SUMIF('UFCA - BA'!$F$143,M26,'UFCA - BA'!$I$143)</f>
        <v>0</v>
      </c>
      <c r="P26" s="791"/>
      <c r="Q26" s="789"/>
      <c r="R26" s="64" t="s">
        <v>595</v>
      </c>
      <c r="S26" s="196">
        <v>0</v>
      </c>
      <c r="U26" s="791"/>
      <c r="V26" s="789"/>
      <c r="W26" s="64" t="s">
        <v>595</v>
      </c>
      <c r="X26" s="196">
        <f>SUMIF('UFCA - BA'!$F$135:$F$142,W26,'UFCA - BA'!$I$135:$I$142)</f>
        <v>0</v>
      </c>
      <c r="Z26" s="791"/>
      <c r="AA26" s="789"/>
      <c r="AB26" s="64" t="s">
        <v>595</v>
      </c>
      <c r="AC26" s="196">
        <f>SUMIF('UFCA - BA'!$F$157:$F$230,AB26,'UFCA - BA'!$I$157:$I$230)</f>
        <v>0</v>
      </c>
    </row>
    <row r="27" spans="1:39">
      <c r="A27" s="791"/>
      <c r="B27" s="789"/>
      <c r="C27" s="64" t="s">
        <v>594</v>
      </c>
      <c r="D27" s="196">
        <f>SUMIF('UFCA - BA'!$F$4:$F$117,C27,'UFCA - BA'!$I$4:$I$117)</f>
        <v>0</v>
      </c>
      <c r="F27" s="791"/>
      <c r="G27" s="789"/>
      <c r="H27" s="64" t="s">
        <v>594</v>
      </c>
      <c r="I27" s="196">
        <f>SUMIF('UFCA - BA'!$F$118:$F$134,H27,'UFCA - BA'!$I$118:$I$134)</f>
        <v>0</v>
      </c>
      <c r="K27" s="791"/>
      <c r="L27" s="789"/>
      <c r="M27" s="64" t="s">
        <v>594</v>
      </c>
      <c r="N27" s="196">
        <f>SUMIF('UFCA - BA'!$F$143,M27,'UFCA - BA'!$I$143)</f>
        <v>0</v>
      </c>
      <c r="P27" s="791"/>
      <c r="Q27" s="789"/>
      <c r="R27" s="64" t="s">
        <v>594</v>
      </c>
      <c r="S27" s="196">
        <v>0</v>
      </c>
      <c r="U27" s="791"/>
      <c r="V27" s="789"/>
      <c r="W27" s="64" t="s">
        <v>594</v>
      </c>
      <c r="X27" s="196">
        <f>SUMIF('UFCA - BA'!$F$135:$F$142,W27,'UFCA - BA'!$I$135:$I$142)</f>
        <v>0</v>
      </c>
      <c r="Z27" s="791"/>
      <c r="AA27" s="789"/>
      <c r="AB27" s="64" t="s">
        <v>594</v>
      </c>
      <c r="AC27" s="196">
        <f>SUMIF('UFCA - BA'!$F$157:$F$230,AB27,'UFCA - BA'!$I$157:$I$230)</f>
        <v>0</v>
      </c>
    </row>
    <row r="29" spans="1:39">
      <c r="I29">
        <f>SUM(I4:I27)</f>
        <v>203.58999999999997</v>
      </c>
      <c r="N29">
        <f>SUM(N4:N27)</f>
        <v>78</v>
      </c>
      <c r="S29">
        <f>SUM(S4:S27)</f>
        <v>163</v>
      </c>
      <c r="X29">
        <f>SUM(X4:X27)</f>
        <v>183.54999999999998</v>
      </c>
      <c r="AC29">
        <f>SUM(AC4:AC27)</f>
        <v>1756.67</v>
      </c>
    </row>
    <row r="30" spans="1:39">
      <c r="C30" s="18" t="s">
        <v>1531</v>
      </c>
      <c r="D30" s="220" t="s">
        <v>563</v>
      </c>
      <c r="E30" s="3"/>
      <c r="H30" s="18" t="s">
        <v>2</v>
      </c>
      <c r="I30" s="220" t="s">
        <v>563</v>
      </c>
      <c r="J30" s="80"/>
      <c r="M30" s="18" t="s">
        <v>610</v>
      </c>
      <c r="N30" s="220" t="s">
        <v>563</v>
      </c>
      <c r="O30" s="80"/>
      <c r="R30" s="18" t="s">
        <v>1313</v>
      </c>
      <c r="S30" s="220" t="s">
        <v>563</v>
      </c>
      <c r="T30" s="80"/>
      <c r="W30" s="18" t="s">
        <v>632</v>
      </c>
      <c r="X30" s="220" t="s">
        <v>563</v>
      </c>
      <c r="Y30" s="80"/>
      <c r="AB30" s="18" t="s">
        <v>1529</v>
      </c>
      <c r="AC30" s="220" t="s">
        <v>563</v>
      </c>
      <c r="AF30" s="3"/>
      <c r="AG30" s="3"/>
      <c r="AH30" s="3"/>
      <c r="AI30" s="80"/>
      <c r="AK30" s="3"/>
      <c r="AL30" s="3"/>
      <c r="AM30" s="80"/>
    </row>
    <row r="31" spans="1:39">
      <c r="A31" s="48"/>
      <c r="B31" s="12" t="s">
        <v>1362</v>
      </c>
      <c r="C31" s="197">
        <f>SUM(D4:D27)</f>
        <v>4543.4500000000007</v>
      </c>
      <c r="D31" s="227">
        <f>C31</f>
        <v>4543.4500000000007</v>
      </c>
      <c r="E31" s="4"/>
      <c r="F31" s="48"/>
      <c r="G31" s="12" t="s">
        <v>1362</v>
      </c>
      <c r="H31" s="197">
        <f>SUM(I4:I27)</f>
        <v>203.58999999999997</v>
      </c>
      <c r="I31" s="227">
        <f t="shared" ref="I31:I40" si="0">SUM(H31)</f>
        <v>203.58999999999997</v>
      </c>
      <c r="J31" s="216"/>
      <c r="K31" s="48"/>
      <c r="L31" s="12" t="s">
        <v>1362</v>
      </c>
      <c r="M31" s="197">
        <f>SUM(N4:N27)</f>
        <v>78</v>
      </c>
      <c r="N31" s="227">
        <f t="shared" ref="N31:N40" si="1">SUM(M31)</f>
        <v>78</v>
      </c>
      <c r="O31" s="216"/>
      <c r="P31" s="48"/>
      <c r="Q31" s="12" t="s">
        <v>1362</v>
      </c>
      <c r="R31" s="197">
        <f>SUM(S4:S27)</f>
        <v>163</v>
      </c>
      <c r="S31" s="227">
        <f t="shared" ref="S31:S40" si="2">SUM(R31)</f>
        <v>163</v>
      </c>
      <c r="T31" s="216"/>
      <c r="U31" s="48"/>
      <c r="V31" s="12" t="s">
        <v>1362</v>
      </c>
      <c r="W31" s="197">
        <f>SUM(X4:X27)</f>
        <v>183.54999999999998</v>
      </c>
      <c r="X31" s="227">
        <f t="shared" ref="X31:X40" si="3">SUM(W31)</f>
        <v>183.54999999999998</v>
      </c>
      <c r="Y31" s="216"/>
      <c r="Z31" s="48"/>
      <c r="AA31" s="12" t="s">
        <v>1362</v>
      </c>
      <c r="AB31" s="197">
        <f>SUM(AC4:AC27)</f>
        <v>1756.67</v>
      </c>
      <c r="AC31" s="227">
        <f>AB31</f>
        <v>1756.67</v>
      </c>
      <c r="AF31" s="215"/>
      <c r="AG31" s="215"/>
      <c r="AH31" s="215"/>
      <c r="AI31" s="216"/>
      <c r="AK31" s="215"/>
      <c r="AL31" s="215"/>
      <c r="AM31" s="216"/>
    </row>
    <row r="32" spans="1:39" ht="30">
      <c r="A32" s="98" t="s">
        <v>1367</v>
      </c>
      <c r="B32" s="200" t="s">
        <v>1361</v>
      </c>
      <c r="C32" s="199">
        <f>D4</f>
        <v>358.57999999999993</v>
      </c>
      <c r="D32" s="227">
        <f t="shared" ref="D32:D41" si="4">C32</f>
        <v>358.57999999999993</v>
      </c>
      <c r="E32" s="4"/>
      <c r="F32" s="98" t="s">
        <v>1367</v>
      </c>
      <c r="G32" s="200" t="s">
        <v>1361</v>
      </c>
      <c r="H32" s="199">
        <f>I4</f>
        <v>10.18</v>
      </c>
      <c r="I32" s="227">
        <f t="shared" si="0"/>
        <v>10.18</v>
      </c>
      <c r="J32" s="216"/>
      <c r="K32" s="98" t="s">
        <v>1367</v>
      </c>
      <c r="L32" s="200" t="s">
        <v>1361</v>
      </c>
      <c r="M32" s="199">
        <f>N4</f>
        <v>0</v>
      </c>
      <c r="N32" s="227">
        <f t="shared" si="1"/>
        <v>0</v>
      </c>
      <c r="O32" s="216"/>
      <c r="P32" s="98" t="s">
        <v>1367</v>
      </c>
      <c r="Q32" s="200" t="s">
        <v>1361</v>
      </c>
      <c r="R32" s="199">
        <f>S4</f>
        <v>0</v>
      </c>
      <c r="S32" s="227">
        <f t="shared" si="2"/>
        <v>0</v>
      </c>
      <c r="T32" s="216"/>
      <c r="U32" s="98" t="s">
        <v>1367</v>
      </c>
      <c r="V32" s="200" t="s">
        <v>1361</v>
      </c>
      <c r="W32" s="199">
        <f>X4</f>
        <v>39.03</v>
      </c>
      <c r="X32" s="227">
        <f t="shared" si="3"/>
        <v>39.03</v>
      </c>
      <c r="Y32" s="216"/>
      <c r="Z32" s="98" t="s">
        <v>1367</v>
      </c>
      <c r="AA32" s="200" t="s">
        <v>1361</v>
      </c>
      <c r="AB32" s="199">
        <f>AC4</f>
        <v>0</v>
      </c>
      <c r="AC32" s="227">
        <f t="shared" ref="AC32:AC39" si="5">AB32</f>
        <v>0</v>
      </c>
      <c r="AG32" s="4"/>
      <c r="AH32" s="4"/>
      <c r="AI32" s="216"/>
      <c r="AK32" s="4"/>
      <c r="AL32" s="4"/>
      <c r="AM32" s="216"/>
    </row>
    <row r="33" spans="1:39">
      <c r="A33" s="800" t="s">
        <v>1363</v>
      </c>
      <c r="B33" s="48" t="s">
        <v>1365</v>
      </c>
      <c r="C33" s="198">
        <f>D5</f>
        <v>0</v>
      </c>
      <c r="D33" s="227">
        <f t="shared" si="4"/>
        <v>0</v>
      </c>
      <c r="E33" s="4"/>
      <c r="F33" s="800" t="s">
        <v>1363</v>
      </c>
      <c r="G33" s="48" t="s">
        <v>1365</v>
      </c>
      <c r="H33" s="198">
        <f>I5</f>
        <v>0</v>
      </c>
      <c r="I33" s="227">
        <f t="shared" si="0"/>
        <v>0</v>
      </c>
      <c r="J33" s="216"/>
      <c r="K33" s="800" t="s">
        <v>1363</v>
      </c>
      <c r="L33" s="48" t="s">
        <v>1365</v>
      </c>
      <c r="M33" s="198">
        <f>N5</f>
        <v>0</v>
      </c>
      <c r="N33" s="227">
        <f t="shared" si="1"/>
        <v>0</v>
      </c>
      <c r="O33" s="216"/>
      <c r="P33" s="800" t="s">
        <v>1363</v>
      </c>
      <c r="Q33" s="48" t="s">
        <v>1365</v>
      </c>
      <c r="R33" s="198">
        <f>S5</f>
        <v>0</v>
      </c>
      <c r="S33" s="227">
        <f t="shared" si="2"/>
        <v>0</v>
      </c>
      <c r="T33" s="216"/>
      <c r="U33" s="800" t="s">
        <v>1363</v>
      </c>
      <c r="V33" s="48" t="s">
        <v>1365</v>
      </c>
      <c r="W33" s="198">
        <f>X5</f>
        <v>0</v>
      </c>
      <c r="X33" s="227">
        <f t="shared" si="3"/>
        <v>0</v>
      </c>
      <c r="Y33" s="216"/>
      <c r="Z33" s="800" t="s">
        <v>1363</v>
      </c>
      <c r="AA33" s="48" t="s">
        <v>1365</v>
      </c>
      <c r="AB33" s="198">
        <f>AC5</f>
        <v>145.94</v>
      </c>
      <c r="AC33" s="227">
        <f t="shared" si="5"/>
        <v>145.94</v>
      </c>
      <c r="AG33" s="4"/>
      <c r="AH33" s="4"/>
      <c r="AI33" s="216"/>
      <c r="AK33" s="4"/>
      <c r="AL33" s="4"/>
      <c r="AM33" s="216"/>
    </row>
    <row r="34" spans="1:39" ht="30" customHeight="1">
      <c r="A34" s="801"/>
      <c r="B34" s="48" t="s">
        <v>1366</v>
      </c>
      <c r="C34" s="198">
        <v>0</v>
      </c>
      <c r="D34" s="227">
        <f t="shared" si="4"/>
        <v>0</v>
      </c>
      <c r="E34" s="4"/>
      <c r="F34" s="801"/>
      <c r="G34" s="48" t="s">
        <v>1366</v>
      </c>
      <c r="H34" s="198">
        <v>0</v>
      </c>
      <c r="I34" s="227">
        <f t="shared" si="0"/>
        <v>0</v>
      </c>
      <c r="J34" s="216"/>
      <c r="K34" s="801"/>
      <c r="L34" s="48" t="s">
        <v>1366</v>
      </c>
      <c r="M34" s="198">
        <v>0</v>
      </c>
      <c r="N34" s="227">
        <f t="shared" si="1"/>
        <v>0</v>
      </c>
      <c r="O34" s="216"/>
      <c r="P34" s="801"/>
      <c r="Q34" s="48" t="s">
        <v>1366</v>
      </c>
      <c r="R34" s="198">
        <v>0</v>
      </c>
      <c r="S34" s="227">
        <f t="shared" si="2"/>
        <v>0</v>
      </c>
      <c r="T34" s="216"/>
      <c r="U34" s="801"/>
      <c r="V34" s="48" t="s">
        <v>1366</v>
      </c>
      <c r="W34" s="198">
        <v>0</v>
      </c>
      <c r="X34" s="227">
        <f t="shared" si="3"/>
        <v>0</v>
      </c>
      <c r="Y34" s="216"/>
      <c r="Z34" s="801"/>
      <c r="AA34" s="48" t="s">
        <v>1366</v>
      </c>
      <c r="AB34" s="198">
        <v>0</v>
      </c>
      <c r="AC34" s="227">
        <f t="shared" si="5"/>
        <v>0</v>
      </c>
      <c r="AG34" s="4"/>
      <c r="AH34" s="4"/>
      <c r="AI34" s="216"/>
      <c r="AK34" s="4"/>
      <c r="AL34" s="4"/>
      <c r="AM34" s="216"/>
    </row>
    <row r="35" spans="1:39">
      <c r="A35" s="797" t="s">
        <v>1368</v>
      </c>
      <c r="B35" s="48" t="s">
        <v>1365</v>
      </c>
      <c r="C35" s="198">
        <f>SUM(D6:D8)</f>
        <v>254.91</v>
      </c>
      <c r="D35" s="227">
        <f t="shared" si="4"/>
        <v>254.91</v>
      </c>
      <c r="E35" s="4"/>
      <c r="F35" s="797" t="s">
        <v>1368</v>
      </c>
      <c r="G35" s="48" t="s">
        <v>1365</v>
      </c>
      <c r="H35" s="198">
        <f>SUM(I6:I8)</f>
        <v>10.36</v>
      </c>
      <c r="I35" s="227">
        <f t="shared" si="0"/>
        <v>10.36</v>
      </c>
      <c r="J35" s="216"/>
      <c r="K35" s="797" t="s">
        <v>1368</v>
      </c>
      <c r="L35" s="48" t="s">
        <v>1365</v>
      </c>
      <c r="M35" s="198">
        <f>SUM(N6:N8)</f>
        <v>0</v>
      </c>
      <c r="N35" s="227">
        <f t="shared" si="1"/>
        <v>0</v>
      </c>
      <c r="O35" s="216"/>
      <c r="P35" s="797" t="s">
        <v>1368</v>
      </c>
      <c r="Q35" s="48" t="s">
        <v>1365</v>
      </c>
      <c r="R35" s="198">
        <f>SUM(S6:S8)</f>
        <v>0</v>
      </c>
      <c r="S35" s="227">
        <f t="shared" si="2"/>
        <v>0</v>
      </c>
      <c r="T35" s="216"/>
      <c r="U35" s="797" t="s">
        <v>1368</v>
      </c>
      <c r="V35" s="48" t="s">
        <v>1365</v>
      </c>
      <c r="W35" s="198">
        <f>SUM(X6:X8)</f>
        <v>69.38</v>
      </c>
      <c r="X35" s="227">
        <f t="shared" si="3"/>
        <v>69.38</v>
      </c>
      <c r="Y35" s="216"/>
      <c r="Z35" s="797" t="s">
        <v>1368</v>
      </c>
      <c r="AA35" s="48" t="s">
        <v>1365</v>
      </c>
      <c r="AB35" s="198">
        <f>SUM(AC6:AC8)</f>
        <v>165.35</v>
      </c>
      <c r="AC35" s="227">
        <f t="shared" si="5"/>
        <v>165.35</v>
      </c>
      <c r="AG35" s="4"/>
      <c r="AH35" s="4"/>
      <c r="AI35" s="216"/>
      <c r="AK35" s="4"/>
      <c r="AL35" s="4"/>
      <c r="AM35" s="216"/>
    </row>
    <row r="36" spans="1:39">
      <c r="A36" s="797"/>
      <c r="B36" s="48" t="s">
        <v>1366</v>
      </c>
      <c r="C36" s="198">
        <v>0</v>
      </c>
      <c r="D36" s="227">
        <f t="shared" si="4"/>
        <v>0</v>
      </c>
      <c r="E36" s="4"/>
      <c r="F36" s="797"/>
      <c r="G36" s="48" t="s">
        <v>1366</v>
      </c>
      <c r="H36" s="198">
        <v>0</v>
      </c>
      <c r="I36" s="227">
        <f t="shared" si="0"/>
        <v>0</v>
      </c>
      <c r="J36" s="216"/>
      <c r="K36" s="797"/>
      <c r="L36" s="48" t="s">
        <v>1366</v>
      </c>
      <c r="M36" s="198">
        <v>0</v>
      </c>
      <c r="N36" s="227">
        <f t="shared" si="1"/>
        <v>0</v>
      </c>
      <c r="O36" s="216"/>
      <c r="P36" s="797"/>
      <c r="Q36" s="48" t="s">
        <v>1366</v>
      </c>
      <c r="R36" s="198">
        <v>0</v>
      </c>
      <c r="S36" s="227">
        <f t="shared" si="2"/>
        <v>0</v>
      </c>
      <c r="T36" s="216"/>
      <c r="U36" s="797"/>
      <c r="V36" s="48" t="s">
        <v>1366</v>
      </c>
      <c r="W36" s="198">
        <v>0</v>
      </c>
      <c r="X36" s="227">
        <f t="shared" si="3"/>
        <v>0</v>
      </c>
      <c r="Y36" s="216"/>
      <c r="Z36" s="797"/>
      <c r="AA36" s="48" t="s">
        <v>1366</v>
      </c>
      <c r="AB36" s="198">
        <v>0</v>
      </c>
      <c r="AC36" s="227">
        <f t="shared" si="5"/>
        <v>0</v>
      </c>
      <c r="AG36" s="4"/>
      <c r="AH36" s="4"/>
      <c r="AI36" s="216"/>
      <c r="AK36" s="4"/>
      <c r="AL36" s="4"/>
      <c r="AM36" s="216"/>
    </row>
    <row r="37" spans="1:39">
      <c r="A37" s="798" t="s">
        <v>1372</v>
      </c>
      <c r="B37" s="48" t="s">
        <v>615</v>
      </c>
      <c r="C37" s="198">
        <v>0</v>
      </c>
      <c r="D37" s="227">
        <f t="shared" si="4"/>
        <v>0</v>
      </c>
      <c r="E37" s="4"/>
      <c r="F37" s="798" t="s">
        <v>1372</v>
      </c>
      <c r="G37" s="48" t="s">
        <v>615</v>
      </c>
      <c r="H37" s="198">
        <v>0</v>
      </c>
      <c r="I37" s="227">
        <f t="shared" si="0"/>
        <v>0</v>
      </c>
      <c r="J37" s="216"/>
      <c r="K37" s="798" t="s">
        <v>1372</v>
      </c>
      <c r="L37" s="48" t="s">
        <v>615</v>
      </c>
      <c r="M37" s="198">
        <v>0</v>
      </c>
      <c r="N37" s="227">
        <f t="shared" si="1"/>
        <v>0</v>
      </c>
      <c r="O37" s="216"/>
      <c r="P37" s="798" t="s">
        <v>1372</v>
      </c>
      <c r="Q37" s="48" t="s">
        <v>615</v>
      </c>
      <c r="R37" s="198">
        <v>0</v>
      </c>
      <c r="S37" s="227">
        <f t="shared" si="2"/>
        <v>0</v>
      </c>
      <c r="T37" s="216"/>
      <c r="U37" s="798" t="s">
        <v>1372</v>
      </c>
      <c r="V37" s="48" t="s">
        <v>615</v>
      </c>
      <c r="W37" s="198">
        <v>0</v>
      </c>
      <c r="X37" s="227">
        <f t="shared" si="3"/>
        <v>0</v>
      </c>
      <c r="Y37" s="216"/>
      <c r="Z37" s="798" t="s">
        <v>1372</v>
      </c>
      <c r="AA37" s="48" t="s">
        <v>615</v>
      </c>
      <c r="AB37" s="198">
        <v>0</v>
      </c>
      <c r="AC37" s="227">
        <f>AB37</f>
        <v>0</v>
      </c>
      <c r="AG37" s="4"/>
      <c r="AH37" s="4"/>
      <c r="AI37" s="216"/>
      <c r="AK37" s="4"/>
      <c r="AL37" s="4"/>
      <c r="AM37" s="216"/>
    </row>
    <row r="38" spans="1:39">
      <c r="A38" s="798"/>
      <c r="B38" s="48" t="s">
        <v>1387</v>
      </c>
      <c r="C38" s="198">
        <v>0</v>
      </c>
      <c r="D38" s="227">
        <f t="shared" si="4"/>
        <v>0</v>
      </c>
      <c r="E38" s="4"/>
      <c r="F38" s="798"/>
      <c r="G38" s="48" t="s">
        <v>1387</v>
      </c>
      <c r="H38" s="198">
        <v>0</v>
      </c>
      <c r="I38" s="227">
        <f t="shared" si="0"/>
        <v>0</v>
      </c>
      <c r="J38" s="216"/>
      <c r="K38" s="798"/>
      <c r="L38" s="48" t="s">
        <v>1387</v>
      </c>
      <c r="M38" s="198">
        <v>0</v>
      </c>
      <c r="N38" s="227">
        <f t="shared" si="1"/>
        <v>0</v>
      </c>
      <c r="O38" s="216"/>
      <c r="P38" s="798"/>
      <c r="Q38" s="48" t="s">
        <v>1387</v>
      </c>
      <c r="R38" s="198">
        <v>0</v>
      </c>
      <c r="S38" s="227">
        <f t="shared" si="2"/>
        <v>0</v>
      </c>
      <c r="T38" s="216"/>
      <c r="U38" s="798"/>
      <c r="V38" s="48" t="s">
        <v>1387</v>
      </c>
      <c r="W38" s="198">
        <v>0</v>
      </c>
      <c r="X38" s="227">
        <f t="shared" si="3"/>
        <v>0</v>
      </c>
      <c r="Y38" s="216"/>
      <c r="Z38" s="798"/>
      <c r="AA38" s="48" t="s">
        <v>1387</v>
      </c>
      <c r="AB38" s="198">
        <v>0</v>
      </c>
      <c r="AC38" s="227">
        <f t="shared" si="5"/>
        <v>0</v>
      </c>
      <c r="AG38" s="4"/>
      <c r="AH38" s="4"/>
      <c r="AI38" s="216"/>
      <c r="AK38" s="4"/>
      <c r="AL38" s="4"/>
      <c r="AM38" s="216"/>
    </row>
    <row r="39" spans="1:39">
      <c r="A39" s="798"/>
      <c r="B39" s="48" t="s">
        <v>1388</v>
      </c>
      <c r="C39" s="198">
        <v>0</v>
      </c>
      <c r="D39" s="227">
        <f t="shared" si="4"/>
        <v>0</v>
      </c>
      <c r="E39" s="4"/>
      <c r="F39" s="798"/>
      <c r="G39" s="48" t="s">
        <v>1388</v>
      </c>
      <c r="H39" s="198">
        <v>0</v>
      </c>
      <c r="I39" s="227">
        <f t="shared" si="0"/>
        <v>0</v>
      </c>
      <c r="J39" s="216"/>
      <c r="K39" s="798"/>
      <c r="L39" s="48" t="s">
        <v>1388</v>
      </c>
      <c r="M39" s="198">
        <v>0</v>
      </c>
      <c r="N39" s="227">
        <f t="shared" si="1"/>
        <v>0</v>
      </c>
      <c r="O39" s="216"/>
      <c r="P39" s="798"/>
      <c r="Q39" s="48" t="s">
        <v>1388</v>
      </c>
      <c r="R39" s="198">
        <v>0</v>
      </c>
      <c r="S39" s="227">
        <f t="shared" si="2"/>
        <v>0</v>
      </c>
      <c r="T39" s="216"/>
      <c r="U39" s="798"/>
      <c r="V39" s="48" t="s">
        <v>1388</v>
      </c>
      <c r="W39" s="198">
        <v>0</v>
      </c>
      <c r="X39" s="227">
        <f t="shared" si="3"/>
        <v>0</v>
      </c>
      <c r="Y39" s="216"/>
      <c r="Z39" s="798"/>
      <c r="AA39" s="48" t="s">
        <v>1388</v>
      </c>
      <c r="AB39" s="198">
        <v>0</v>
      </c>
      <c r="AC39" s="227">
        <f t="shared" si="5"/>
        <v>0</v>
      </c>
      <c r="AG39" s="4"/>
      <c r="AH39" s="4"/>
      <c r="AI39" s="216"/>
      <c r="AK39" s="4"/>
      <c r="AL39" s="4"/>
      <c r="AM39" s="216"/>
    </row>
    <row r="40" spans="1:39" ht="60">
      <c r="A40" s="799"/>
      <c r="B40" s="61" t="s">
        <v>1451</v>
      </c>
      <c r="C40" s="198">
        <f>SUM(D9:D14)</f>
        <v>1163.9100000000001</v>
      </c>
      <c r="D40" s="227">
        <f t="shared" si="4"/>
        <v>1163.9100000000001</v>
      </c>
      <c r="E40" s="4"/>
      <c r="F40" s="799"/>
      <c r="G40" s="61" t="s">
        <v>1451</v>
      </c>
      <c r="H40" s="198">
        <f>SUM(I9:I14)</f>
        <v>64.91</v>
      </c>
      <c r="I40" s="227">
        <f t="shared" si="0"/>
        <v>64.91</v>
      </c>
      <c r="J40" s="216"/>
      <c r="K40" s="799"/>
      <c r="L40" s="61" t="s">
        <v>1451</v>
      </c>
      <c r="M40" s="198">
        <f>SUM(N9:N14)</f>
        <v>78</v>
      </c>
      <c r="N40" s="227">
        <f t="shared" si="1"/>
        <v>78</v>
      </c>
      <c r="O40" s="216"/>
      <c r="P40" s="799"/>
      <c r="Q40" s="61" t="s">
        <v>1451</v>
      </c>
      <c r="R40" s="198">
        <f>SUM(S9:S14)</f>
        <v>0</v>
      </c>
      <c r="S40" s="227">
        <f t="shared" si="2"/>
        <v>0</v>
      </c>
      <c r="T40" s="216"/>
      <c r="U40" s="799"/>
      <c r="V40" s="61" t="s">
        <v>1451</v>
      </c>
      <c r="W40" s="198">
        <f>SUM(X9:X14)</f>
        <v>67.48</v>
      </c>
      <c r="X40" s="227">
        <f t="shared" si="3"/>
        <v>67.48</v>
      </c>
      <c r="Y40" s="216"/>
      <c r="Z40" s="799"/>
      <c r="AA40" s="61" t="s">
        <v>1451</v>
      </c>
      <c r="AB40" s="198">
        <f>SUM(AC9:AC14)</f>
        <v>475.64</v>
      </c>
      <c r="AC40" s="227">
        <f>AB40</f>
        <v>475.64</v>
      </c>
      <c r="AG40" s="4"/>
      <c r="AH40" s="4"/>
      <c r="AI40" s="216"/>
      <c r="AK40" s="4"/>
      <c r="AL40" s="4"/>
      <c r="AM40" s="216"/>
    </row>
    <row r="41" spans="1:39">
      <c r="A41" s="96" t="s">
        <v>1373</v>
      </c>
      <c r="B41" s="48"/>
      <c r="C41" s="48">
        <f>SUM(D15:D27)</f>
        <v>2766.05</v>
      </c>
      <c r="D41" s="227">
        <f t="shared" si="4"/>
        <v>2766.05</v>
      </c>
      <c r="F41" s="96" t="s">
        <v>1373</v>
      </c>
      <c r="G41" s="48"/>
      <c r="H41" s="48">
        <f>SUM(I15:I27)</f>
        <v>118.14000000000001</v>
      </c>
      <c r="I41" s="227">
        <f>SUM(H41)</f>
        <v>118.14000000000001</v>
      </c>
      <c r="J41" s="216"/>
      <c r="K41" s="96" t="s">
        <v>1373</v>
      </c>
      <c r="L41" s="48"/>
      <c r="M41" s="48">
        <f>SUM(N15:N27)</f>
        <v>0</v>
      </c>
      <c r="N41" s="227">
        <f>SUM(M41)</f>
        <v>0</v>
      </c>
      <c r="O41" s="216"/>
      <c r="P41" s="96" t="s">
        <v>1373</v>
      </c>
      <c r="Q41" s="48"/>
      <c r="R41" s="48">
        <f>SUM(S15:S27)</f>
        <v>163</v>
      </c>
      <c r="S41" s="227">
        <f>SUM(R41)</f>
        <v>163</v>
      </c>
      <c r="T41" s="216"/>
      <c r="U41" s="96" t="s">
        <v>1373</v>
      </c>
      <c r="V41" s="48"/>
      <c r="W41" s="48">
        <f>SUM(X15:X27)</f>
        <v>7.66</v>
      </c>
      <c r="X41" s="227">
        <f>SUM(W41)</f>
        <v>7.66</v>
      </c>
      <c r="Y41" s="216"/>
      <c r="Z41" s="96" t="s">
        <v>1373</v>
      </c>
      <c r="AA41" s="48"/>
      <c r="AB41" s="48">
        <f>SUM(AC15:AC27)</f>
        <v>969.74000000000012</v>
      </c>
      <c r="AC41" s="227">
        <f>AB41</f>
        <v>969.74000000000012</v>
      </c>
      <c r="AI41" s="216"/>
      <c r="AM41" s="216"/>
    </row>
    <row r="43" spans="1:39">
      <c r="C43">
        <f>SUM(C32,C35,C41,C40,C33)</f>
        <v>4543.45</v>
      </c>
      <c r="H43">
        <f>SUM(H32,H35,H41,H40,H33)</f>
        <v>203.59</v>
      </c>
      <c r="M43">
        <f>SUM(M32,M35,M41,M40,M33)</f>
        <v>78</v>
      </c>
      <c r="R43">
        <f>SUM(R32,R35,R41,R40,R33)</f>
        <v>163</v>
      </c>
      <c r="W43">
        <f>SUM(W32,W35,W41,W40,W33)</f>
        <v>183.55</v>
      </c>
      <c r="AB43">
        <f>SUM(AB32,AB35,AB41,AB40,AB33)</f>
        <v>1756.67</v>
      </c>
    </row>
    <row r="45" spans="1:39" s="207" customFormat="1"/>
    <row r="47" spans="1:39">
      <c r="A47" s="795" t="s">
        <v>1389</v>
      </c>
      <c r="B47" s="795"/>
      <c r="C47" s="795"/>
      <c r="D47" s="795"/>
      <c r="E47" s="795"/>
      <c r="F47" s="795"/>
      <c r="G47" s="795"/>
    </row>
    <row r="48" spans="1:39">
      <c r="B48" s="80"/>
      <c r="D48" s="788" t="s">
        <v>1390</v>
      </c>
      <c r="E48" s="788"/>
      <c r="F48" s="80"/>
      <c r="G48" s="80"/>
    </row>
    <row r="49" spans="1:10">
      <c r="B49" s="80"/>
      <c r="D49" s="787" t="s">
        <v>1391</v>
      </c>
      <c r="E49" s="787"/>
      <c r="F49" s="80"/>
      <c r="G49" s="80"/>
    </row>
    <row r="50" spans="1:10" ht="25.5">
      <c r="B50" s="202" t="s">
        <v>1531</v>
      </c>
      <c r="D50" s="202" t="s">
        <v>1392</v>
      </c>
      <c r="E50" s="202" t="s">
        <v>1394</v>
      </c>
      <c r="F50" s="202" t="s">
        <v>1395</v>
      </c>
      <c r="G50" s="202" t="s">
        <v>1396</v>
      </c>
      <c r="I50" s="2">
        <f>SUM(D52,D58,D64,D70,D82,D76)</f>
        <v>26</v>
      </c>
    </row>
    <row r="51" spans="1:10">
      <c r="A51" s="90" t="s">
        <v>574</v>
      </c>
      <c r="B51" s="171" t="s">
        <v>1438</v>
      </c>
      <c r="C51" s="64" t="s">
        <v>249</v>
      </c>
      <c r="D51" s="208">
        <f>SUM(E51,F51)</f>
        <v>8</v>
      </c>
      <c r="E51" s="208">
        <v>0</v>
      </c>
      <c r="F51" s="13">
        <f>6+2</f>
        <v>8</v>
      </c>
      <c r="G51" s="13">
        <v>0</v>
      </c>
      <c r="H51" s="212"/>
      <c r="I51" s="213"/>
      <c r="J51" s="212"/>
    </row>
    <row r="52" spans="1:10">
      <c r="C52" s="203" t="s">
        <v>563</v>
      </c>
      <c r="D52" s="204">
        <f>SUM(D51:D51)</f>
        <v>8</v>
      </c>
      <c r="E52" s="204">
        <f>SUM(E51:E51)</f>
        <v>0</v>
      </c>
      <c r="F52" s="204">
        <f>SUM(F51:F51)</f>
        <v>8</v>
      </c>
      <c r="G52" s="204">
        <f>SUM(G51:G51)</f>
        <v>0</v>
      </c>
    </row>
    <row r="54" spans="1:10">
      <c r="B54" s="80"/>
      <c r="D54" s="788" t="s">
        <v>1390</v>
      </c>
      <c r="E54" s="788"/>
      <c r="F54" s="80"/>
      <c r="G54" s="80"/>
    </row>
    <row r="55" spans="1:10">
      <c r="B55" s="80"/>
      <c r="D55" s="787" t="s">
        <v>1391</v>
      </c>
      <c r="E55" s="787"/>
      <c r="F55" s="80"/>
      <c r="G55" s="80"/>
    </row>
    <row r="56" spans="1:10" ht="25.5">
      <c r="B56" s="202" t="s">
        <v>2</v>
      </c>
      <c r="D56" s="202" t="s">
        <v>1392</v>
      </c>
      <c r="E56" s="202" t="s">
        <v>1394</v>
      </c>
      <c r="F56" s="202" t="s">
        <v>1395</v>
      </c>
      <c r="G56" s="202" t="s">
        <v>1396</v>
      </c>
    </row>
    <row r="57" spans="1:10">
      <c r="A57" s="90" t="s">
        <v>574</v>
      </c>
      <c r="B57" s="171" t="s">
        <v>1438</v>
      </c>
      <c r="C57" s="64" t="s">
        <v>249</v>
      </c>
      <c r="D57" s="208">
        <f>SUM(E57,F57)</f>
        <v>4</v>
      </c>
      <c r="E57" s="208">
        <v>0</v>
      </c>
      <c r="F57" s="13">
        <f>3+1</f>
        <v>4</v>
      </c>
      <c r="G57" s="13">
        <v>0</v>
      </c>
    </row>
    <row r="58" spans="1:10">
      <c r="C58" s="203" t="s">
        <v>563</v>
      </c>
      <c r="D58" s="204">
        <f>SUM(D57:D57)</f>
        <v>4</v>
      </c>
      <c r="E58" s="204">
        <f>SUM(E57:E57)</f>
        <v>0</v>
      </c>
      <c r="F58" s="204">
        <f>SUM(F57:F57)</f>
        <v>4</v>
      </c>
      <c r="G58" s="204">
        <f>SUM(G57:G57)</f>
        <v>0</v>
      </c>
    </row>
    <row r="60" spans="1:10">
      <c r="B60" s="80"/>
      <c r="D60" s="788" t="s">
        <v>1390</v>
      </c>
      <c r="E60" s="788"/>
      <c r="F60" s="80"/>
      <c r="G60" s="80"/>
    </row>
    <row r="61" spans="1:10">
      <c r="B61" s="80"/>
      <c r="D61" s="787" t="s">
        <v>1391</v>
      </c>
      <c r="E61" s="787"/>
      <c r="F61" s="80"/>
      <c r="G61" s="80"/>
    </row>
    <row r="62" spans="1:10" ht="25.5">
      <c r="B62" s="202" t="s">
        <v>195</v>
      </c>
      <c r="D62" s="202" t="s">
        <v>1392</v>
      </c>
      <c r="E62" s="202" t="s">
        <v>1394</v>
      </c>
      <c r="F62" s="202" t="s">
        <v>1395</v>
      </c>
      <c r="G62" s="202" t="s">
        <v>1396</v>
      </c>
    </row>
    <row r="63" spans="1:10">
      <c r="A63" s="90" t="s">
        <v>574</v>
      </c>
      <c r="B63" s="171" t="s">
        <v>1438</v>
      </c>
      <c r="C63" s="64" t="s">
        <v>249</v>
      </c>
      <c r="D63" s="208">
        <f>SUM(E63,F63)</f>
        <v>1</v>
      </c>
      <c r="E63" s="208">
        <v>0</v>
      </c>
      <c r="F63" s="13">
        <f>1</f>
        <v>1</v>
      </c>
      <c r="G63" s="13">
        <v>0</v>
      </c>
    </row>
    <row r="64" spans="1:10">
      <c r="C64" s="203" t="s">
        <v>563</v>
      </c>
      <c r="D64" s="204">
        <f>SUM(D63:D63)</f>
        <v>1</v>
      </c>
      <c r="E64" s="204">
        <f>SUM(E63:E63)</f>
        <v>0</v>
      </c>
      <c r="F64" s="204">
        <f>SUM(F63:F63)</f>
        <v>1</v>
      </c>
      <c r="G64" s="204">
        <f>SUM(G63:G63)</f>
        <v>0</v>
      </c>
    </row>
    <row r="66" spans="1:7">
      <c r="B66" s="80"/>
      <c r="D66" s="788" t="s">
        <v>1390</v>
      </c>
      <c r="E66" s="788"/>
      <c r="F66" s="80"/>
      <c r="G66" s="80"/>
    </row>
    <row r="67" spans="1:7">
      <c r="B67" s="80"/>
      <c r="D67" s="787" t="s">
        <v>1391</v>
      </c>
      <c r="E67" s="787"/>
      <c r="F67" s="80"/>
      <c r="G67" s="80"/>
    </row>
    <row r="68" spans="1:7" ht="25.5">
      <c r="B68" s="202" t="s">
        <v>1313</v>
      </c>
      <c r="D68" s="202" t="s">
        <v>1392</v>
      </c>
      <c r="E68" s="202" t="s">
        <v>1394</v>
      </c>
      <c r="F68" s="202" t="s">
        <v>1395</v>
      </c>
      <c r="G68" s="202" t="s">
        <v>1396</v>
      </c>
    </row>
    <row r="69" spans="1:7">
      <c r="A69" s="90" t="s">
        <v>574</v>
      </c>
      <c r="B69" s="171" t="s">
        <v>1438</v>
      </c>
      <c r="C69" s="64" t="s">
        <v>249</v>
      </c>
      <c r="D69" s="208">
        <f>SUM(E69,F69)</f>
        <v>3</v>
      </c>
      <c r="E69" s="208">
        <v>0</v>
      </c>
      <c r="F69" s="13">
        <f>2+1</f>
        <v>3</v>
      </c>
      <c r="G69" s="13">
        <v>0</v>
      </c>
    </row>
    <row r="70" spans="1:7">
      <c r="C70" s="203" t="s">
        <v>563</v>
      </c>
      <c r="D70" s="204">
        <f>SUM(D69:D69)</f>
        <v>3</v>
      </c>
      <c r="E70" s="204">
        <f>SUM(E69:E69)</f>
        <v>0</v>
      </c>
      <c r="F70" s="204">
        <f>SUM(F69:F69)</f>
        <v>3</v>
      </c>
      <c r="G70" s="204">
        <f>SUM(G69:G69)</f>
        <v>0</v>
      </c>
    </row>
    <row r="72" spans="1:7">
      <c r="B72" s="80"/>
      <c r="D72" s="788" t="s">
        <v>1390</v>
      </c>
      <c r="E72" s="788"/>
      <c r="F72" s="80"/>
      <c r="G72" s="80"/>
    </row>
    <row r="73" spans="1:7">
      <c r="B73" s="80"/>
      <c r="D73" s="787" t="s">
        <v>1391</v>
      </c>
      <c r="E73" s="787"/>
      <c r="F73" s="80"/>
      <c r="G73" s="80"/>
    </row>
    <row r="74" spans="1:7" ht="25.5">
      <c r="B74" s="202" t="s">
        <v>632</v>
      </c>
      <c r="D74" s="202" t="s">
        <v>1392</v>
      </c>
      <c r="E74" s="202" t="s">
        <v>1394</v>
      </c>
      <c r="F74" s="202" t="s">
        <v>1395</v>
      </c>
      <c r="G74" s="202" t="s">
        <v>1396</v>
      </c>
    </row>
    <row r="75" spans="1:7">
      <c r="A75" s="90" t="s">
        <v>574</v>
      </c>
      <c r="B75" s="171" t="s">
        <v>1438</v>
      </c>
      <c r="C75" s="64" t="s">
        <v>249</v>
      </c>
      <c r="D75" s="208">
        <f>SUM(E75,F75)</f>
        <v>2</v>
      </c>
      <c r="E75" s="208">
        <v>0</v>
      </c>
      <c r="F75" s="13">
        <f>1+1</f>
        <v>2</v>
      </c>
      <c r="G75" s="13">
        <v>0</v>
      </c>
    </row>
    <row r="76" spans="1:7">
      <c r="C76" s="203" t="s">
        <v>563</v>
      </c>
      <c r="D76" s="204">
        <f>SUM(D75:D75)</f>
        <v>2</v>
      </c>
      <c r="E76" s="204">
        <f>SUM(E75:E75)</f>
        <v>0</v>
      </c>
      <c r="F76" s="204">
        <f>SUM(F75:F75)</f>
        <v>2</v>
      </c>
      <c r="G76" s="204">
        <f>SUM(G75:G75)</f>
        <v>0</v>
      </c>
    </row>
    <row r="78" spans="1:7">
      <c r="B78" s="80"/>
      <c r="D78" s="788" t="s">
        <v>1390</v>
      </c>
      <c r="E78" s="788"/>
      <c r="F78" s="80"/>
      <c r="G78" s="80"/>
    </row>
    <row r="79" spans="1:7">
      <c r="B79" s="80"/>
      <c r="D79" s="787" t="s">
        <v>1391</v>
      </c>
      <c r="E79" s="787"/>
      <c r="F79" s="80"/>
      <c r="G79" s="80"/>
    </row>
    <row r="80" spans="1:7" ht="25.5">
      <c r="B80" s="202" t="s">
        <v>1529</v>
      </c>
      <c r="D80" s="202" t="s">
        <v>1392</v>
      </c>
      <c r="E80" s="202" t="s">
        <v>1394</v>
      </c>
      <c r="F80" s="202" t="s">
        <v>1395</v>
      </c>
      <c r="G80" s="202" t="s">
        <v>1396</v>
      </c>
    </row>
    <row r="81" spans="1:9">
      <c r="A81" s="90" t="s">
        <v>574</v>
      </c>
      <c r="B81" s="171" t="s">
        <v>1438</v>
      </c>
      <c r="C81" s="64" t="s">
        <v>249</v>
      </c>
      <c r="D81" s="208">
        <f>SUM(E81,F81)</f>
        <v>8</v>
      </c>
      <c r="E81" s="208">
        <v>0</v>
      </c>
      <c r="F81" s="13">
        <f>6+2</f>
        <v>8</v>
      </c>
      <c r="G81" s="13">
        <v>0</v>
      </c>
    </row>
    <row r="82" spans="1:9">
      <c r="C82" s="203" t="s">
        <v>563</v>
      </c>
      <c r="D82" s="204">
        <f>SUM(D81:D81)</f>
        <v>8</v>
      </c>
      <c r="E82" s="204">
        <f>SUM(E81:E81)</f>
        <v>0</v>
      </c>
      <c r="F82" s="204">
        <f>SUM(F81:F81)</f>
        <v>8</v>
      </c>
      <c r="G82" s="204">
        <f>SUM(G81:G81)</f>
        <v>0</v>
      </c>
      <c r="I82" s="237"/>
    </row>
    <row r="108" spans="3:7">
      <c r="C108" s="217"/>
      <c r="D108" s="218"/>
      <c r="E108" s="218"/>
      <c r="F108" s="218"/>
      <c r="G108" s="218"/>
    </row>
  </sheetData>
  <mergeCells count="81">
    <mergeCell ref="Z37:Z40"/>
    <mergeCell ref="F33:F34"/>
    <mergeCell ref="F35:F36"/>
    <mergeCell ref="F37:F40"/>
    <mergeCell ref="K33:K34"/>
    <mergeCell ref="K35:K36"/>
    <mergeCell ref="K37:K40"/>
    <mergeCell ref="P33:P34"/>
    <mergeCell ref="P35:P36"/>
    <mergeCell ref="P37:P40"/>
    <mergeCell ref="U33:U34"/>
    <mergeCell ref="U35:U36"/>
    <mergeCell ref="U37:U40"/>
    <mergeCell ref="Z15:Z27"/>
    <mergeCell ref="AA15:AA27"/>
    <mergeCell ref="A1:D1"/>
    <mergeCell ref="Z33:Z34"/>
    <mergeCell ref="Z35:Z36"/>
    <mergeCell ref="Z4:Z5"/>
    <mergeCell ref="Z6:Z8"/>
    <mergeCell ref="AA6:AA8"/>
    <mergeCell ref="Z9:Z14"/>
    <mergeCell ref="AA9:AA14"/>
    <mergeCell ref="P15:P27"/>
    <mergeCell ref="Q15:Q27"/>
    <mergeCell ref="U4:U5"/>
    <mergeCell ref="U6:U8"/>
    <mergeCell ref="V6:V8"/>
    <mergeCell ref="U9:U14"/>
    <mergeCell ref="V9:V14"/>
    <mergeCell ref="U15:U27"/>
    <mergeCell ref="V15:V27"/>
    <mergeCell ref="P4:P5"/>
    <mergeCell ref="P6:P8"/>
    <mergeCell ref="Q6:Q8"/>
    <mergeCell ref="P9:P14"/>
    <mergeCell ref="Q9:Q14"/>
    <mergeCell ref="L6:L8"/>
    <mergeCell ref="K9:K14"/>
    <mergeCell ref="L9:L14"/>
    <mergeCell ref="K15:K27"/>
    <mergeCell ref="L15:L27"/>
    <mergeCell ref="G9:G14"/>
    <mergeCell ref="F15:F27"/>
    <mergeCell ref="G15:G27"/>
    <mergeCell ref="K4:K5"/>
    <mergeCell ref="K6:K8"/>
    <mergeCell ref="AK1:AL1"/>
    <mergeCell ref="A4:A5"/>
    <mergeCell ref="A6:A8"/>
    <mergeCell ref="B6:B8"/>
    <mergeCell ref="A9:A14"/>
    <mergeCell ref="B9:B14"/>
    <mergeCell ref="H1:I1"/>
    <mergeCell ref="L1:N1"/>
    <mergeCell ref="Q1:S1"/>
    <mergeCell ref="V1:X1"/>
    <mergeCell ref="AA1:AC1"/>
    <mergeCell ref="AF1:AH1"/>
    <mergeCell ref="F4:F5"/>
    <mergeCell ref="F6:F8"/>
    <mergeCell ref="G6:G8"/>
    <mergeCell ref="F9:F14"/>
    <mergeCell ref="D48:E48"/>
    <mergeCell ref="D49:E49"/>
    <mergeCell ref="A15:A27"/>
    <mergeCell ref="B15:B27"/>
    <mergeCell ref="A35:A36"/>
    <mergeCell ref="A37:A40"/>
    <mergeCell ref="A47:G47"/>
    <mergeCell ref="A33:A34"/>
    <mergeCell ref="D54:E54"/>
    <mergeCell ref="D55:E55"/>
    <mergeCell ref="D60:E60"/>
    <mergeCell ref="D61:E61"/>
    <mergeCell ref="D66:E66"/>
    <mergeCell ref="D67:E67"/>
    <mergeCell ref="D72:E72"/>
    <mergeCell ref="D73:E73"/>
    <mergeCell ref="D78:E78"/>
    <mergeCell ref="D79:E79"/>
  </mergeCells>
  <pageMargins left="0.511811024" right="0.511811024" top="0.78740157499999996" bottom="0.78740157499999996" header="0.31496062000000002" footer="0.31496062000000002"/>
  <pageSetup paperSize="9" scale="15" fitToHeight="0" orientation="portrait" r:id="rId1"/>
  <ignoredErrors>
    <ignoredError sqref="R35 R40"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773BB-15AC-4BD8-8175-CBDAD47B2E7A}">
  <sheetPr>
    <tabColor theme="5" tint="0.59999389629810485"/>
    <pageSetUpPr fitToPage="1"/>
  </sheetPr>
  <dimension ref="A1:BK107"/>
  <sheetViews>
    <sheetView view="pageBreakPreview" topLeftCell="A18" zoomScale="106" zoomScaleNormal="100" zoomScaleSheetLayoutView="106" workbookViewId="0">
      <pane xSplit="1" topLeftCell="AU1" activePane="topRight" state="frozen"/>
      <selection pane="topRight" activeCell="BB20" sqref="BB20"/>
    </sheetView>
  </sheetViews>
  <sheetFormatPr defaultRowHeight="15"/>
  <cols>
    <col min="1" max="1" width="15" customWidth="1"/>
    <col min="2" max="2" width="24.42578125" bestFit="1" customWidth="1"/>
    <col min="3" max="3" width="19.28515625" customWidth="1"/>
    <col min="4" max="4" width="12.85546875" customWidth="1"/>
    <col min="5" max="5" width="10.28515625" customWidth="1"/>
    <col min="6" max="6" width="14.5703125" customWidth="1"/>
    <col min="7" max="8" width="24.42578125" bestFit="1" customWidth="1"/>
    <col min="9" max="9" width="11.85546875" bestFit="1" customWidth="1"/>
    <col min="10" max="10" width="5" customWidth="1"/>
    <col min="11" max="11" width="14" customWidth="1"/>
    <col min="12" max="12" width="24.85546875" bestFit="1" customWidth="1"/>
    <col min="13" max="13" width="17.7109375" bestFit="1" customWidth="1"/>
    <col min="14" max="14" width="15.5703125" customWidth="1"/>
    <col min="15" max="15" width="6.140625" customWidth="1"/>
    <col min="16" max="16" width="17.7109375" bestFit="1" customWidth="1"/>
    <col min="17" max="17" width="24.85546875" bestFit="1" customWidth="1"/>
    <col min="18" max="18" width="17.7109375" bestFit="1" customWidth="1"/>
    <col min="19" max="19" width="14" customWidth="1"/>
    <col min="20" max="20" width="5.28515625" customWidth="1"/>
    <col min="21" max="21" width="17.7109375" bestFit="1" customWidth="1"/>
    <col min="22" max="22" width="24.85546875" bestFit="1" customWidth="1"/>
    <col min="23" max="23" width="17.7109375" bestFit="1" customWidth="1"/>
    <col min="24" max="24" width="15.28515625" customWidth="1"/>
    <col min="25" max="25" width="5.28515625" customWidth="1"/>
    <col min="26" max="26" width="17.7109375" bestFit="1" customWidth="1"/>
    <col min="27" max="27" width="24.85546875" bestFit="1" customWidth="1"/>
    <col min="28" max="28" width="17.7109375" bestFit="1" customWidth="1"/>
    <col min="29" max="29" width="24.42578125" bestFit="1" customWidth="1"/>
    <col min="30" max="30" width="6.140625" customWidth="1"/>
    <col min="31" max="31" width="17.7109375" bestFit="1" customWidth="1"/>
    <col min="32" max="32" width="24.85546875" bestFit="1" customWidth="1"/>
    <col min="33" max="33" width="17.7109375" bestFit="1" customWidth="1"/>
    <col min="34" max="34" width="14.28515625" customWidth="1"/>
    <col min="35" max="35" width="6.28515625" customWidth="1"/>
    <col min="36" max="36" width="17.7109375" bestFit="1" customWidth="1"/>
    <col min="37" max="37" width="24.85546875" bestFit="1" customWidth="1"/>
    <col min="38" max="38" width="17.7109375" bestFit="1" customWidth="1"/>
    <col min="39" max="39" width="15.42578125" customWidth="1"/>
    <col min="40" max="40" width="5" customWidth="1"/>
    <col min="41" max="41" width="17" customWidth="1"/>
    <col min="42" max="42" width="24.85546875" bestFit="1" customWidth="1"/>
    <col min="43" max="43" width="17.7109375" bestFit="1" customWidth="1"/>
    <col min="44" max="44" width="16.28515625" customWidth="1"/>
    <col min="45" max="45" width="6.7109375" customWidth="1"/>
    <col min="46" max="46" width="17.7109375" bestFit="1" customWidth="1"/>
    <col min="47" max="47" width="24.85546875" bestFit="1" customWidth="1"/>
    <col min="48" max="48" width="17.7109375" bestFit="1" customWidth="1"/>
    <col min="49" max="49" width="14.28515625" customWidth="1"/>
    <col min="50" max="50" width="5.7109375" customWidth="1"/>
    <col min="51" max="51" width="4.28515625" customWidth="1"/>
    <col min="52" max="52" width="16.5703125" customWidth="1"/>
    <col min="53" max="53" width="24.85546875" bestFit="1" customWidth="1"/>
    <col min="54" max="54" width="17.7109375" bestFit="1" customWidth="1"/>
    <col min="55" max="55" width="11.42578125" customWidth="1"/>
    <col min="56" max="56" width="11" customWidth="1"/>
    <col min="57" max="57" width="14.85546875" bestFit="1" customWidth="1"/>
    <col min="58" max="58" width="4.140625" customWidth="1"/>
    <col min="59" max="59" width="14.85546875" customWidth="1"/>
    <col min="60" max="60" width="10.140625" customWidth="1"/>
    <col min="61" max="61" width="24.42578125" bestFit="1" customWidth="1"/>
    <col min="62" max="62" width="11.7109375" bestFit="1" customWidth="1"/>
    <col min="63" max="63" width="16.5703125" bestFit="1" customWidth="1"/>
  </cols>
  <sheetData>
    <row r="1" spans="1:62">
      <c r="A1" s="806" t="s">
        <v>1494</v>
      </c>
      <c r="B1" s="807"/>
      <c r="C1" s="807"/>
      <c r="D1" s="807"/>
      <c r="E1" s="86"/>
      <c r="F1" s="806" t="s">
        <v>1471</v>
      </c>
      <c r="G1" s="807"/>
      <c r="H1" s="807"/>
      <c r="I1" s="807"/>
      <c r="J1" s="219"/>
      <c r="K1" s="806" t="s">
        <v>1473</v>
      </c>
      <c r="L1" s="807"/>
      <c r="M1" s="807"/>
      <c r="N1" s="807"/>
      <c r="P1" s="806" t="s">
        <v>1475</v>
      </c>
      <c r="Q1" s="807"/>
      <c r="R1" s="807"/>
      <c r="S1" s="807"/>
      <c r="U1" s="806" t="s">
        <v>1474</v>
      </c>
      <c r="V1" s="807"/>
      <c r="W1" s="807"/>
      <c r="X1" s="807"/>
      <c r="Z1" s="806" t="s">
        <v>1476</v>
      </c>
      <c r="AA1" s="807"/>
      <c r="AB1" s="807"/>
      <c r="AC1" s="807"/>
      <c r="AE1" s="806" t="s">
        <v>1479</v>
      </c>
      <c r="AF1" s="807"/>
      <c r="AG1" s="807"/>
      <c r="AH1" s="808"/>
      <c r="AJ1" s="806" t="s">
        <v>1480</v>
      </c>
      <c r="AK1" s="807"/>
      <c r="AL1" s="807"/>
      <c r="AM1" s="808"/>
      <c r="AO1" s="806" t="s">
        <v>595</v>
      </c>
      <c r="AP1" s="807"/>
      <c r="AQ1" s="807"/>
      <c r="AR1" s="808"/>
      <c r="AT1" s="806" t="s">
        <v>1380</v>
      </c>
      <c r="AU1" s="807"/>
      <c r="AV1" s="807"/>
      <c r="AW1" s="808"/>
      <c r="AZ1" s="806" t="s">
        <v>1489</v>
      </c>
      <c r="BA1" s="807"/>
      <c r="BB1" s="807"/>
      <c r="BC1" s="808"/>
      <c r="BD1" s="219"/>
      <c r="BG1" s="219"/>
      <c r="BH1" s="219"/>
      <c r="BI1" s="219"/>
      <c r="BJ1" s="219"/>
    </row>
    <row r="2" spans="1:62" s="10" customFormat="1" ht="30">
      <c r="A2" s="232" t="s">
        <v>1469</v>
      </c>
      <c r="B2" s="18">
        <v>6306.56</v>
      </c>
      <c r="C2" s="232" t="s">
        <v>1461</v>
      </c>
      <c r="D2" s="21">
        <v>9.5399999999999991</v>
      </c>
      <c r="E2" s="80"/>
      <c r="F2" s="232" t="s">
        <v>1469</v>
      </c>
      <c r="G2" s="18">
        <v>3538.26</v>
      </c>
      <c r="H2" s="232" t="s">
        <v>1461</v>
      </c>
      <c r="I2" s="21">
        <v>640.39</v>
      </c>
      <c r="J2" s="3"/>
      <c r="K2" s="232" t="s">
        <v>1469</v>
      </c>
      <c r="L2" s="18">
        <v>3377.44</v>
      </c>
      <c r="M2" s="232" t="s">
        <v>1461</v>
      </c>
      <c r="N2" s="21">
        <v>396.15</v>
      </c>
      <c r="P2" s="232" t="s">
        <v>1469</v>
      </c>
      <c r="Q2" s="18">
        <v>4661.21</v>
      </c>
      <c r="R2" s="232" t="s">
        <v>1461</v>
      </c>
      <c r="S2" s="21">
        <v>1291.8</v>
      </c>
      <c r="U2" s="232" t="s">
        <v>1469</v>
      </c>
      <c r="V2" s="18">
        <v>1252.95</v>
      </c>
      <c r="W2" s="232" t="s">
        <v>1461</v>
      </c>
      <c r="X2" s="21">
        <v>469.27</v>
      </c>
      <c r="Z2" s="232" t="s">
        <v>1469</v>
      </c>
      <c r="AA2" s="18">
        <v>5997.32</v>
      </c>
      <c r="AB2" s="232" t="s">
        <v>1461</v>
      </c>
      <c r="AC2" s="21">
        <v>1291.8</v>
      </c>
      <c r="AE2" s="232" t="s">
        <v>1469</v>
      </c>
      <c r="AF2" s="18">
        <v>2364.83</v>
      </c>
      <c r="AG2" s="232" t="s">
        <v>1461</v>
      </c>
      <c r="AH2" s="21">
        <v>714</v>
      </c>
      <c r="AJ2" s="232" t="s">
        <v>1469</v>
      </c>
      <c r="AK2" s="18">
        <v>3959.69</v>
      </c>
      <c r="AL2" s="232" t="s">
        <v>1461</v>
      </c>
      <c r="AM2" s="21">
        <v>3844.44</v>
      </c>
      <c r="AO2" s="232" t="s">
        <v>1469</v>
      </c>
      <c r="AP2" s="18">
        <v>3397.6</v>
      </c>
      <c r="AQ2" s="232" t="s">
        <v>1461</v>
      </c>
      <c r="AR2" s="21">
        <v>994.08</v>
      </c>
      <c r="AT2" s="232" t="s">
        <v>1469</v>
      </c>
      <c r="AU2" s="18">
        <v>926.34</v>
      </c>
      <c r="AV2" s="232" t="s">
        <v>1461</v>
      </c>
      <c r="AW2" s="21">
        <f>384.79+926.2</f>
        <v>1310.99</v>
      </c>
      <c r="AZ2" s="232" t="s">
        <v>1469</v>
      </c>
      <c r="BA2" s="18">
        <v>125258.8</v>
      </c>
      <c r="BB2" s="232" t="s">
        <v>1461</v>
      </c>
      <c r="BC2" s="21">
        <v>0</v>
      </c>
      <c r="BE2" s="10">
        <f>SUM(BA2,B2,G2,L2,Q2,V2,AA2,AF2,AK2,AP2,AU2)</f>
        <v>161041.00000000003</v>
      </c>
      <c r="BG2" s="239"/>
      <c r="BH2" s="3"/>
      <c r="BI2" s="239"/>
      <c r="BJ2" s="3"/>
    </row>
    <row r="3" spans="1:62">
      <c r="D3" s="233"/>
      <c r="E3" s="3"/>
      <c r="I3" s="233" t="s">
        <v>1488</v>
      </c>
      <c r="J3" s="3"/>
      <c r="N3" s="233" t="s">
        <v>1487</v>
      </c>
      <c r="S3" s="233" t="s">
        <v>1486</v>
      </c>
      <c r="X3" s="233" t="s">
        <v>1485</v>
      </c>
      <c r="AC3" s="233" t="s">
        <v>1484</v>
      </c>
      <c r="AH3" s="233" t="s">
        <v>1483</v>
      </c>
      <c r="AM3" s="233" t="s">
        <v>1482</v>
      </c>
      <c r="AR3" s="233" t="s">
        <v>595</v>
      </c>
      <c r="AW3" s="233" t="s">
        <v>1380</v>
      </c>
      <c r="BC3" s="233"/>
      <c r="BD3" s="3"/>
      <c r="BJ3" s="3"/>
    </row>
    <row r="4" spans="1:62" ht="15" customHeight="1">
      <c r="A4" s="790" t="s">
        <v>1367</v>
      </c>
      <c r="B4" s="64" t="s">
        <v>1361</v>
      </c>
      <c r="C4" s="64" t="s">
        <v>249</v>
      </c>
      <c r="D4" s="48">
        <f>SUMIF('UFCA - CR'!$F$4:$F$5,C4,'UFCA - CR'!$I$4:$I$5)</f>
        <v>5.6</v>
      </c>
      <c r="F4" s="790" t="s">
        <v>1367</v>
      </c>
      <c r="G4" s="64" t="s">
        <v>1361</v>
      </c>
      <c r="H4" s="64" t="s">
        <v>249</v>
      </c>
      <c r="I4" s="48">
        <f>SUMIF('UFCA - CR'!$F$6:$F$18,H4,'UFCA - CR'!$I$6:$I$18)</f>
        <v>94.5</v>
      </c>
      <c r="K4" s="790" t="s">
        <v>1367</v>
      </c>
      <c r="L4" s="64" t="s">
        <v>1361</v>
      </c>
      <c r="M4" s="64" t="s">
        <v>249</v>
      </c>
      <c r="N4" s="48">
        <f>SUMIF('UFCA - CR'!$F$19:$F$28,M4,'UFCA - CR'!$I$19:$I$28)</f>
        <v>0</v>
      </c>
      <c r="P4" s="790" t="s">
        <v>1367</v>
      </c>
      <c r="Q4" s="64" t="s">
        <v>1361</v>
      </c>
      <c r="R4" s="64" t="s">
        <v>249</v>
      </c>
      <c r="S4" s="48">
        <f>SUMIF('UFCA - CR'!$F$29:$F$51,R4,'UFCA - CR'!$I$29:$I$51)</f>
        <v>0</v>
      </c>
      <c r="U4" s="790" t="s">
        <v>1367</v>
      </c>
      <c r="V4" s="64" t="s">
        <v>1361</v>
      </c>
      <c r="W4" s="64" t="s">
        <v>249</v>
      </c>
      <c r="X4" s="48">
        <f>SUMIF('UFCA - CR'!$F$52:$F$58,W4,'UFCA - CR'!$I$52:$I$58)</f>
        <v>0</v>
      </c>
      <c r="Z4" s="790" t="s">
        <v>1367</v>
      </c>
      <c r="AA4" s="64" t="s">
        <v>1361</v>
      </c>
      <c r="AB4" s="64" t="s">
        <v>249</v>
      </c>
      <c r="AC4" s="48">
        <f>SUMIF('UFCA - CR'!$F$59:$F$71,AB4,'UFCA - CR'!$I$59:$I$71)</f>
        <v>0</v>
      </c>
      <c r="AE4" s="790" t="s">
        <v>1367</v>
      </c>
      <c r="AF4" s="64" t="s">
        <v>1361</v>
      </c>
      <c r="AG4" s="64" t="s">
        <v>249</v>
      </c>
      <c r="AH4" s="48">
        <f>SUMIF('UFCA - CR'!$F$72:$F$79,AG4,'UFCA - CR'!$I$72:$I$79)</f>
        <v>18.5</v>
      </c>
      <c r="AJ4" s="790" t="s">
        <v>1367</v>
      </c>
      <c r="AK4" s="64" t="s">
        <v>1361</v>
      </c>
      <c r="AL4" s="64" t="s">
        <v>249</v>
      </c>
      <c r="AM4" s="48">
        <f>SUMIF('UFCA - CR'!$F$80:$F$183,AL4,'UFCA - CR'!$I$80:$I$183)</f>
        <v>192.64</v>
      </c>
      <c r="AO4" s="790" t="s">
        <v>1367</v>
      </c>
      <c r="AP4" s="64" t="s">
        <v>1361</v>
      </c>
      <c r="AQ4" s="64" t="s">
        <v>249</v>
      </c>
      <c r="AR4" s="48">
        <f>SUMIF('UFCA - CR'!$F$184:$F$192,AQ4,'UFCA - CR'!$I$184:$I$192)</f>
        <v>0</v>
      </c>
      <c r="AT4" s="790" t="s">
        <v>1367</v>
      </c>
      <c r="AU4" s="64" t="s">
        <v>1361</v>
      </c>
      <c r="AV4" s="64" t="s">
        <v>249</v>
      </c>
      <c r="AW4" s="48">
        <f>SUMIF('UFCA - CR'!$F$193:$F$194,AV4,'UFCA - CR'!$I$193:$I$194)</f>
        <v>0</v>
      </c>
      <c r="AZ4" s="790" t="s">
        <v>1367</v>
      </c>
      <c r="BA4" s="64" t="s">
        <v>1361</v>
      </c>
      <c r="BB4" s="64" t="s">
        <v>249</v>
      </c>
      <c r="BC4" s="48">
        <v>0</v>
      </c>
      <c r="BG4" s="242"/>
      <c r="BH4" s="229"/>
      <c r="BI4" s="229"/>
    </row>
    <row r="5" spans="1:62">
      <c r="A5" s="790"/>
      <c r="B5" s="96" t="s">
        <v>1363</v>
      </c>
      <c r="C5" s="48" t="s">
        <v>1364</v>
      </c>
      <c r="D5" s="48">
        <f>SUMIF('UFCA - CR'!$F$4:$F$5,C5,'UFCA - CR'!$I$4:$I$5)</f>
        <v>0</v>
      </c>
      <c r="F5" s="790"/>
      <c r="G5" s="96" t="s">
        <v>1363</v>
      </c>
      <c r="H5" s="48" t="s">
        <v>1364</v>
      </c>
      <c r="I5" s="48">
        <f>SUMIF('UFCA - CR'!$F$6:$F$18,H5,'UFCA - CR'!$I$6:$I$18)</f>
        <v>0</v>
      </c>
      <c r="K5" s="790"/>
      <c r="L5" s="96" t="s">
        <v>1363</v>
      </c>
      <c r="M5" s="48" t="s">
        <v>1364</v>
      </c>
      <c r="N5" s="48">
        <f>SUMIF('UFCA - CR'!$F$19:$F$28,M5,'UFCA - CR'!$I$19:$I$28)</f>
        <v>0</v>
      </c>
      <c r="P5" s="790"/>
      <c r="Q5" s="96" t="s">
        <v>1363</v>
      </c>
      <c r="R5" s="48" t="s">
        <v>1364</v>
      </c>
      <c r="S5" s="48">
        <f>SUMIF('UFCA - CR'!$F$29:$F$51,R5,'UFCA - CR'!$I$29:$I$51)</f>
        <v>0</v>
      </c>
      <c r="U5" s="790"/>
      <c r="V5" s="96" t="s">
        <v>1363</v>
      </c>
      <c r="W5" s="48" t="s">
        <v>1364</v>
      </c>
      <c r="X5" s="48">
        <f>SUMIF('UFCA - CR'!$F$52:$F$58,W5,'UFCA - CR'!$I$52:$I$58)</f>
        <v>0</v>
      </c>
      <c r="Z5" s="790"/>
      <c r="AA5" s="96" t="s">
        <v>1363</v>
      </c>
      <c r="AB5" s="48" t="s">
        <v>1364</v>
      </c>
      <c r="AC5" s="48">
        <f>SUMIF('UFCA - CR'!$F$59:$F$71,AB5,'UFCA - CR'!$I$59:$I$71)</f>
        <v>0</v>
      </c>
      <c r="AE5" s="790"/>
      <c r="AF5" s="96" t="s">
        <v>1363</v>
      </c>
      <c r="AG5" s="48" t="s">
        <v>1364</v>
      </c>
      <c r="AH5" s="48">
        <f>SUMIF('UFCA - CR'!$F$72:$F$79,AG5,'UFCA - CR'!$I$72:$I$79)</f>
        <v>0</v>
      </c>
      <c r="AJ5" s="790"/>
      <c r="AK5" s="96" t="s">
        <v>1363</v>
      </c>
      <c r="AL5" s="48" t="s">
        <v>1364</v>
      </c>
      <c r="AM5" s="48">
        <f>SUMIF('UFCA - CR'!$F$80:$F$183,AL5,'UFCA - CR'!$I$80:$I$183)</f>
        <v>0</v>
      </c>
      <c r="AO5" s="790"/>
      <c r="AP5" s="96" t="s">
        <v>1363</v>
      </c>
      <c r="AQ5" s="48" t="s">
        <v>1364</v>
      </c>
      <c r="AR5" s="48">
        <f>SUMIF('UFCA - CR'!$F$184:$F$192,AQ5,'UFCA - CR'!$I$184:$I$192)</f>
        <v>0</v>
      </c>
      <c r="AT5" s="790"/>
      <c r="AU5" s="96" t="s">
        <v>1363</v>
      </c>
      <c r="AV5" s="48" t="s">
        <v>1364</v>
      </c>
      <c r="AW5" s="48">
        <f>SUMIF('UFCA - CR'!$F$193:$F$194,AV5,'UFCA - CR'!$I$193:$I$194)</f>
        <v>0</v>
      </c>
      <c r="AZ5" s="790"/>
      <c r="BA5" s="96" t="s">
        <v>1363</v>
      </c>
      <c r="BB5" s="48" t="s">
        <v>1364</v>
      </c>
      <c r="BC5" s="48">
        <v>0</v>
      </c>
      <c r="BG5" s="242"/>
      <c r="BH5" s="240"/>
    </row>
    <row r="6" spans="1:62" ht="15" customHeight="1">
      <c r="A6" s="790" t="s">
        <v>1368</v>
      </c>
      <c r="B6" s="791" t="s">
        <v>1365</v>
      </c>
      <c r="C6" s="64" t="s">
        <v>27</v>
      </c>
      <c r="D6" s="48">
        <f>SUMIF('UFCA - CR'!$F$4:$F$5,C6,'UFCA - CR'!$I$4:$I$5)</f>
        <v>0</v>
      </c>
      <c r="F6" s="790" t="s">
        <v>1368</v>
      </c>
      <c r="G6" s="791" t="s">
        <v>1365</v>
      </c>
      <c r="H6" s="64" t="s">
        <v>27</v>
      </c>
      <c r="I6" s="48">
        <f>SUMIF('UFCA - CR'!$F$6:$F$18,H6,'UFCA - CR'!$I$6:$I$18)</f>
        <v>0</v>
      </c>
      <c r="K6" s="790" t="s">
        <v>1368</v>
      </c>
      <c r="L6" s="791" t="s">
        <v>1365</v>
      </c>
      <c r="M6" s="64" t="s">
        <v>27</v>
      </c>
      <c r="N6" s="48">
        <f>SUMIF('UFCA - CR'!$F$19:$F$28,M6,'UFCA - CR'!$I$19:$I$28)</f>
        <v>0</v>
      </c>
      <c r="P6" s="790" t="s">
        <v>1368</v>
      </c>
      <c r="Q6" s="791" t="s">
        <v>1365</v>
      </c>
      <c r="R6" s="64" t="s">
        <v>27</v>
      </c>
      <c r="S6" s="48">
        <f>SUMIF('UFCA - CR'!$F$29:$F$51,R6,'UFCA - CR'!$I$29:$I$51)</f>
        <v>0</v>
      </c>
      <c r="U6" s="790" t="s">
        <v>1368</v>
      </c>
      <c r="V6" s="791" t="s">
        <v>1365</v>
      </c>
      <c r="W6" s="64" t="s">
        <v>27</v>
      </c>
      <c r="X6" s="48">
        <f>SUMIF('UFCA - CR'!$F$52:$F$58,W6,'UFCA - CR'!$I$52:$I$58)</f>
        <v>0</v>
      </c>
      <c r="Z6" s="790" t="s">
        <v>1368</v>
      </c>
      <c r="AA6" s="791" t="s">
        <v>1365</v>
      </c>
      <c r="AB6" s="64" t="s">
        <v>27</v>
      </c>
      <c r="AC6" s="48">
        <f>SUMIF('UFCA - CR'!$F$59:$F$71,AB6,'UFCA - CR'!$I$59:$I$71)</f>
        <v>0</v>
      </c>
      <c r="AE6" s="790" t="s">
        <v>1368</v>
      </c>
      <c r="AF6" s="791" t="s">
        <v>1365</v>
      </c>
      <c r="AG6" s="64" t="s">
        <v>27</v>
      </c>
      <c r="AH6" s="48">
        <f>SUMIF('UFCA - CR'!$F$72:$F$79,AG6,'UFCA - CR'!$I$72:$I$79)</f>
        <v>0</v>
      </c>
      <c r="AJ6" s="790" t="s">
        <v>1368</v>
      </c>
      <c r="AK6" s="791" t="s">
        <v>1365</v>
      </c>
      <c r="AL6" s="64" t="s">
        <v>27</v>
      </c>
      <c r="AM6" s="48">
        <f>SUMIF('UFCA - CR'!$F$80:$F$183,AL6,'UFCA - CR'!$I$80:$I$183)</f>
        <v>16.8</v>
      </c>
      <c r="AO6" s="790" t="s">
        <v>1368</v>
      </c>
      <c r="AP6" s="791" t="s">
        <v>1365</v>
      </c>
      <c r="AQ6" s="64" t="s">
        <v>27</v>
      </c>
      <c r="AR6" s="48">
        <f>SUMIF('UFCA - CR'!$F$184:$F$192,AQ6,'UFCA - CR'!$I$184:$I$192)</f>
        <v>0</v>
      </c>
      <c r="AT6" s="790" t="s">
        <v>1368</v>
      </c>
      <c r="AU6" s="791" t="s">
        <v>1365</v>
      </c>
      <c r="AV6" s="64" t="s">
        <v>27</v>
      </c>
      <c r="AW6" s="48">
        <f>SUMIF('UFCA - CR'!$F$193:$F$194,AV6,'UFCA - CR'!$I$193:$I$194)</f>
        <v>0</v>
      </c>
      <c r="AZ6" s="790" t="s">
        <v>1368</v>
      </c>
      <c r="BA6" s="791" t="s">
        <v>1365</v>
      </c>
      <c r="BB6" s="64" t="s">
        <v>27</v>
      </c>
      <c r="BC6" s="48">
        <v>0</v>
      </c>
      <c r="BG6" s="242"/>
      <c r="BH6" s="10"/>
      <c r="BI6" s="229"/>
    </row>
    <row r="7" spans="1:62">
      <c r="A7" s="790"/>
      <c r="B7" s="791"/>
      <c r="C7" s="64" t="s">
        <v>355</v>
      </c>
      <c r="D7" s="48">
        <f>SUMIF('UFCA - CR'!$F$4:$F$5,C7,'UFCA - CR'!$I$4:$I$5)</f>
        <v>0</v>
      </c>
      <c r="F7" s="790"/>
      <c r="G7" s="791"/>
      <c r="H7" s="64" t="s">
        <v>355</v>
      </c>
      <c r="I7" s="48">
        <f>SUMIF('UFCA - CR'!$F$6:$F$18,H7,'UFCA - CR'!$I$6:$I$18)</f>
        <v>7.1</v>
      </c>
      <c r="K7" s="790"/>
      <c r="L7" s="791"/>
      <c r="M7" s="64" t="s">
        <v>355</v>
      </c>
      <c r="N7" s="48">
        <f>SUMIF('UFCA - CR'!$F$19:$F$28,M7,'UFCA - CR'!$I$19:$I$28)</f>
        <v>0</v>
      </c>
      <c r="P7" s="790"/>
      <c r="Q7" s="791"/>
      <c r="R7" s="64" t="s">
        <v>355</v>
      </c>
      <c r="S7" s="48">
        <f>SUMIF('UFCA - CR'!$F$29:$F$51,R7,'UFCA - CR'!$I$29:$I$51)</f>
        <v>73.28</v>
      </c>
      <c r="U7" s="790"/>
      <c r="V7" s="791"/>
      <c r="W7" s="64" t="s">
        <v>355</v>
      </c>
      <c r="X7" s="48">
        <f>SUMIF('UFCA - CR'!$F$52:$F$58,W7,'UFCA - CR'!$I$52:$I$58)</f>
        <v>59.06</v>
      </c>
      <c r="Z7" s="790"/>
      <c r="AA7" s="791"/>
      <c r="AB7" s="64" t="s">
        <v>355</v>
      </c>
      <c r="AC7" s="48">
        <f>SUMIF('UFCA - CR'!$F$59:$F$71,AB7,'UFCA - CR'!$I$59:$I$71)</f>
        <v>11.4</v>
      </c>
      <c r="AE7" s="790"/>
      <c r="AF7" s="791"/>
      <c r="AG7" s="64" t="s">
        <v>355</v>
      </c>
      <c r="AH7" s="48">
        <f>SUMIF('UFCA - CR'!$F$72:$F$79,AG7,'UFCA - CR'!$I$72:$I$79)</f>
        <v>0</v>
      </c>
      <c r="AJ7" s="790"/>
      <c r="AK7" s="791"/>
      <c r="AL7" s="64" t="s">
        <v>355</v>
      </c>
      <c r="AM7" s="48">
        <f>SUMIF('UFCA - CR'!$F$80:$F$183,AL7,'UFCA - CR'!$I$80:$I$183)</f>
        <v>40.96</v>
      </c>
      <c r="AO7" s="790"/>
      <c r="AP7" s="791"/>
      <c r="AQ7" s="64" t="s">
        <v>355</v>
      </c>
      <c r="AR7" s="48">
        <f>SUMIF('UFCA - CR'!$F$184:$F$192,AQ7,'UFCA - CR'!$I$184:$I$192)</f>
        <v>2.5299999999999998</v>
      </c>
      <c r="AT7" s="790"/>
      <c r="AU7" s="791"/>
      <c r="AV7" s="64" t="s">
        <v>355</v>
      </c>
      <c r="AW7" s="48">
        <f>SUMIF('UFCA - CR'!$F$193:$F$194,AV7,'UFCA - CR'!$I$193:$I$194)</f>
        <v>0</v>
      </c>
      <c r="AZ7" s="790"/>
      <c r="BA7" s="791"/>
      <c r="BB7" s="64" t="s">
        <v>355</v>
      </c>
      <c r="BC7" s="48">
        <v>0</v>
      </c>
      <c r="BG7" s="242"/>
      <c r="BH7" s="10"/>
      <c r="BI7" s="229"/>
    </row>
    <row r="8" spans="1:62">
      <c r="A8" s="790"/>
      <c r="B8" s="791"/>
      <c r="C8" s="64" t="s">
        <v>213</v>
      </c>
      <c r="D8" s="48">
        <f>SUMIF('UFCA - CR'!$F$4:$F$5,C8,'UFCA - CR'!$I$4:$I$5)</f>
        <v>0</v>
      </c>
      <c r="F8" s="790"/>
      <c r="G8" s="791"/>
      <c r="H8" s="64" t="s">
        <v>213</v>
      </c>
      <c r="I8" s="48">
        <f>SUMIF('UFCA - CR'!$F$4:$F$5,H8,'UFCA - CR'!$I$4:$I$5)</f>
        <v>0</v>
      </c>
      <c r="K8" s="790"/>
      <c r="L8" s="791"/>
      <c r="M8" s="64" t="s">
        <v>213</v>
      </c>
      <c r="N8" s="48">
        <f>SUMIF('UFCA - CR'!$F$19:$F$28,M8,'UFCA - CR'!$I$19:$I$28)</f>
        <v>0</v>
      </c>
      <c r="P8" s="790"/>
      <c r="Q8" s="791"/>
      <c r="R8" s="64" t="s">
        <v>213</v>
      </c>
      <c r="S8" s="48">
        <f>SUMIF('UFCA - CR'!$F$29:$F$51,R8,'UFCA - CR'!$I$29:$I$51)</f>
        <v>0</v>
      </c>
      <c r="U8" s="790"/>
      <c r="V8" s="791"/>
      <c r="W8" s="64" t="s">
        <v>213</v>
      </c>
      <c r="X8" s="48">
        <f>SUMIF('UFCA - CR'!$F$52:$F$58,W8,'UFCA - CR'!$I$52:$I$58)</f>
        <v>0</v>
      </c>
      <c r="Z8" s="790"/>
      <c r="AA8" s="791"/>
      <c r="AB8" s="64" t="s">
        <v>213</v>
      </c>
      <c r="AC8" s="48">
        <f>SUMIF('UFCA - CR'!$F$59:$F$71,AB8,'UFCA - CR'!$I$59:$I$71)</f>
        <v>0</v>
      </c>
      <c r="AE8" s="790"/>
      <c r="AF8" s="791"/>
      <c r="AG8" s="64" t="s">
        <v>213</v>
      </c>
      <c r="AH8" s="48">
        <f>SUMIF('UFCA - CR'!$F$72:$F$79,AG8,'UFCA - CR'!$I$72:$I$79)</f>
        <v>0</v>
      </c>
      <c r="AJ8" s="790"/>
      <c r="AK8" s="791"/>
      <c r="AL8" s="64" t="s">
        <v>213</v>
      </c>
      <c r="AM8" s="48">
        <f>SUMIF('UFCA - CR'!$F$80:$F$183,AL8,'UFCA - CR'!$I$80:$I$183)</f>
        <v>0</v>
      </c>
      <c r="AO8" s="790"/>
      <c r="AP8" s="791"/>
      <c r="AQ8" s="64" t="s">
        <v>213</v>
      </c>
      <c r="AR8" s="48">
        <f>SUMIF('UFCA - CR'!$F$184:$F$192,AQ8,'UFCA - CR'!$I$184:$I$192)</f>
        <v>0</v>
      </c>
      <c r="AT8" s="790"/>
      <c r="AU8" s="791"/>
      <c r="AV8" s="64" t="s">
        <v>213</v>
      </c>
      <c r="AW8" s="48">
        <f>SUMIF('UFCA - CR'!$F$193:$F$194,AV8,'UFCA - CR'!$I$193:$I$194)</f>
        <v>0</v>
      </c>
      <c r="AZ8" s="790"/>
      <c r="BA8" s="791"/>
      <c r="BB8" s="64" t="s">
        <v>213</v>
      </c>
      <c r="BC8" s="48">
        <v>0</v>
      </c>
      <c r="BG8" s="242"/>
      <c r="BH8" s="10"/>
      <c r="BI8" s="229"/>
    </row>
    <row r="9" spans="1:62">
      <c r="A9" s="790"/>
      <c r="B9" s="791"/>
      <c r="C9" s="64" t="s">
        <v>1462</v>
      </c>
      <c r="D9" s="48">
        <f>SUMIF('UFCA - CR'!$F$4:$F$5,C9,'UFCA - CR'!$I$4:$I$5)</f>
        <v>0</v>
      </c>
      <c r="F9" s="790"/>
      <c r="G9" s="791"/>
      <c r="H9" s="64" t="s">
        <v>1462</v>
      </c>
      <c r="I9" s="48">
        <f>SUMIF('UFCA - CR'!$F$6:$F$18,H9,'UFCA - CR'!$I$6:$I$18)</f>
        <v>0</v>
      </c>
      <c r="K9" s="790"/>
      <c r="L9" s="791"/>
      <c r="M9" s="64" t="s">
        <v>1462</v>
      </c>
      <c r="N9" s="48">
        <f>SUMIF('UFCA - CR'!$F$19:$F$28,M9,'UFCA - CR'!$I$19:$I$28)</f>
        <v>0</v>
      </c>
      <c r="P9" s="790"/>
      <c r="Q9" s="791"/>
      <c r="R9" s="64" t="s">
        <v>1462</v>
      </c>
      <c r="S9" s="48">
        <f>SUMIF('UFCA - CR'!$F$29:$F$51,R9,'UFCA - CR'!$I$29:$I$51)</f>
        <v>0</v>
      </c>
      <c r="U9" s="790"/>
      <c r="V9" s="791"/>
      <c r="W9" s="64" t="s">
        <v>1462</v>
      </c>
      <c r="X9" s="48">
        <f>SUMIF('UFCA - CR'!$F$52:$F$58,W9,'UFCA - CR'!$I$52:$I$58)</f>
        <v>0</v>
      </c>
      <c r="Z9" s="790"/>
      <c r="AA9" s="791"/>
      <c r="AB9" s="64" t="s">
        <v>1462</v>
      </c>
      <c r="AC9" s="48">
        <f>SUMIF('UFCA - CR'!$F$59:$F$71,AB9,'UFCA - CR'!$I$59:$I$71)</f>
        <v>0</v>
      </c>
      <c r="AE9" s="790"/>
      <c r="AF9" s="791"/>
      <c r="AG9" s="64" t="s">
        <v>1462</v>
      </c>
      <c r="AH9" s="48">
        <f>SUMIF('UFCA - CR'!$F$72:$F$79,AG9,'UFCA - CR'!$I$72:$I$79)</f>
        <v>0</v>
      </c>
      <c r="AJ9" s="790"/>
      <c r="AK9" s="791"/>
      <c r="AL9" s="64" t="s">
        <v>1462</v>
      </c>
      <c r="AM9" s="48">
        <f>SUMIF('UFCA - CR'!$F$80:$F$183,AL9,'UFCA - CR'!$I$80:$I$183)</f>
        <v>0</v>
      </c>
      <c r="AO9" s="790"/>
      <c r="AP9" s="791"/>
      <c r="AQ9" s="64" t="s">
        <v>1462</v>
      </c>
      <c r="AR9" s="48">
        <f>SUMIF('UFCA - CR'!$F$184:$F$192,AQ9,'UFCA - CR'!$I$184:$I$192)</f>
        <v>0</v>
      </c>
      <c r="AT9" s="790"/>
      <c r="AU9" s="791"/>
      <c r="AV9" s="64" t="s">
        <v>1462</v>
      </c>
      <c r="AW9" s="48">
        <f>SUMIF('UFCA - CR'!$F$193:$F$194,AV9,'UFCA - CR'!$I$193:$I$194)</f>
        <v>0</v>
      </c>
      <c r="AZ9" s="790"/>
      <c r="BA9" s="791"/>
      <c r="BB9" s="64" t="s">
        <v>1462</v>
      </c>
      <c r="BC9" s="48">
        <v>0</v>
      </c>
      <c r="BG9" s="242"/>
      <c r="BH9" s="10"/>
      <c r="BI9" s="229"/>
    </row>
    <row r="10" spans="1:62">
      <c r="A10" s="790"/>
      <c r="B10" s="791"/>
      <c r="C10" s="64" t="s">
        <v>192</v>
      </c>
      <c r="D10" s="48">
        <f>SUMIF('UFCA - CR'!$F$4:$F$5,C10,'UFCA - CR'!$I$4:$I$5)</f>
        <v>1.7</v>
      </c>
      <c r="F10" s="790"/>
      <c r="G10" s="791"/>
      <c r="H10" s="64" t="s">
        <v>192</v>
      </c>
      <c r="I10" s="48">
        <f>SUMIF('UFCA - CR'!$F$6:$F$18,H10,'UFCA - CR'!$I$6:$I$18)</f>
        <v>20.830000000000002</v>
      </c>
      <c r="K10" s="790"/>
      <c r="L10" s="791"/>
      <c r="M10" s="64" t="s">
        <v>192</v>
      </c>
      <c r="N10" s="48">
        <f>SUMIF('UFCA - CR'!$F$19:$F$28,M10,'UFCA - CR'!$I$19:$I$28)</f>
        <v>20.2</v>
      </c>
      <c r="P10" s="790"/>
      <c r="Q10" s="791"/>
      <c r="R10" s="64" t="s">
        <v>192</v>
      </c>
      <c r="S10" s="48">
        <f>SUMIF('UFCA - CR'!$F$29:$F$51,R10,'UFCA - CR'!$I$29:$I$51)</f>
        <v>37.4</v>
      </c>
      <c r="U10" s="790"/>
      <c r="V10" s="791"/>
      <c r="W10" s="64" t="s">
        <v>192</v>
      </c>
      <c r="X10" s="48">
        <f>SUMIF('UFCA - CR'!$F$52:$F$58,W10,'UFCA - CR'!$I$52:$I$58)</f>
        <v>2.15</v>
      </c>
      <c r="Z10" s="790"/>
      <c r="AA10" s="791"/>
      <c r="AB10" s="64" t="s">
        <v>192</v>
      </c>
      <c r="AC10" s="48">
        <f>SUMIF('UFCA - CR'!$F$59:$F$71,AB10,'UFCA - CR'!$I$59:$I$71)</f>
        <v>37.4</v>
      </c>
      <c r="AE10" s="790"/>
      <c r="AF10" s="791"/>
      <c r="AG10" s="64" t="s">
        <v>192</v>
      </c>
      <c r="AH10" s="48">
        <f>SUMIF('UFCA - CR'!$F$72:$F$79,AG10,'UFCA - CR'!$I$72:$I$79)</f>
        <v>30.6</v>
      </c>
      <c r="AJ10" s="790"/>
      <c r="AK10" s="791"/>
      <c r="AL10" s="64" t="s">
        <v>192</v>
      </c>
      <c r="AM10" s="48">
        <f>SUMIF('UFCA - CR'!$F$80:$F$183,AL10,'UFCA - CR'!$I$80:$I$183)</f>
        <v>133.5</v>
      </c>
      <c r="AO10" s="790"/>
      <c r="AP10" s="791"/>
      <c r="AQ10" s="64" t="s">
        <v>192</v>
      </c>
      <c r="AR10" s="48">
        <f>SUMIF('UFCA - CR'!$F$184:$F$192,AQ10,'UFCA - CR'!$I$184:$I$192)</f>
        <v>37.08</v>
      </c>
      <c r="AT10" s="790"/>
      <c r="AU10" s="791"/>
      <c r="AV10" s="64" t="s">
        <v>192</v>
      </c>
      <c r="AW10" s="48">
        <f>SUMIF('UFCA - CR'!$F$193:$F$194,AV10,'UFCA - CR'!$I$193:$I$194)</f>
        <v>0</v>
      </c>
      <c r="AZ10" s="790"/>
      <c r="BA10" s="791"/>
      <c r="BB10" s="64" t="s">
        <v>192</v>
      </c>
      <c r="BC10" s="48">
        <v>0</v>
      </c>
      <c r="BG10" s="242"/>
      <c r="BH10" s="10"/>
      <c r="BI10" s="229"/>
    </row>
    <row r="11" spans="1:62">
      <c r="A11" s="791" t="s">
        <v>1372</v>
      </c>
      <c r="B11" s="791" t="s">
        <v>1448</v>
      </c>
      <c r="C11" s="64" t="s">
        <v>194</v>
      </c>
      <c r="D11" s="48">
        <f>SUMIF('UFCA - CR'!$F$4:$F$5,C11,'UFCA - CR'!$I$4:$I$5)</f>
        <v>0</v>
      </c>
      <c r="F11" s="791" t="s">
        <v>1372</v>
      </c>
      <c r="G11" s="791" t="s">
        <v>1448</v>
      </c>
      <c r="H11" s="64" t="s">
        <v>194</v>
      </c>
      <c r="I11" s="48">
        <f>SUMIF('UFCA - CR'!$F$6:$F$18,H11,'UFCA - CR'!$I$6:$I$18)</f>
        <v>238.45000000000002</v>
      </c>
      <c r="K11" s="791" t="s">
        <v>1372</v>
      </c>
      <c r="L11" s="791" t="s">
        <v>1448</v>
      </c>
      <c r="M11" s="64" t="s">
        <v>194</v>
      </c>
      <c r="N11" s="48">
        <f>SUMIF('UFCA - CR'!$F$19:$F$28,M11,'UFCA - CR'!$I$19:$I$28)</f>
        <v>184.5</v>
      </c>
      <c r="P11" s="791" t="s">
        <v>1372</v>
      </c>
      <c r="Q11" s="791" t="s">
        <v>1448</v>
      </c>
      <c r="R11" s="64" t="s">
        <v>194</v>
      </c>
      <c r="S11" s="48">
        <f>SUMIF('UFCA - CR'!$F$29:$F$51,R11,'UFCA - CR'!$I$29:$I$51)</f>
        <v>271.14999999999998</v>
      </c>
      <c r="U11" s="791" t="s">
        <v>1372</v>
      </c>
      <c r="V11" s="791" t="s">
        <v>1448</v>
      </c>
      <c r="W11" s="64" t="s">
        <v>194</v>
      </c>
      <c r="X11" s="48">
        <f>SUMIF('UFCA - CR'!$F$52:$F$58,W11,'UFCA - CR'!$I$52:$I$58)</f>
        <v>0</v>
      </c>
      <c r="Z11" s="791" t="s">
        <v>1372</v>
      </c>
      <c r="AA11" s="791" t="s">
        <v>1448</v>
      </c>
      <c r="AB11" s="64" t="s">
        <v>194</v>
      </c>
      <c r="AC11" s="48">
        <f>SUMIF('UFCA - CR'!$F$59:$F$71,AB11,'UFCA - CR'!$I$59:$I$71)</f>
        <v>268.14999999999998</v>
      </c>
      <c r="AE11" s="791" t="s">
        <v>1372</v>
      </c>
      <c r="AF11" s="791" t="s">
        <v>1448</v>
      </c>
      <c r="AG11" s="64" t="s">
        <v>194</v>
      </c>
      <c r="AH11" s="48">
        <f>SUMIF('UFCA - CR'!$F$72:$F$79,AG11,'UFCA - CR'!$I$72:$I$79)</f>
        <v>7.5</v>
      </c>
      <c r="AJ11" s="791" t="s">
        <v>1372</v>
      </c>
      <c r="AK11" s="791" t="s">
        <v>1448</v>
      </c>
      <c r="AL11" s="64" t="s">
        <v>194</v>
      </c>
      <c r="AM11" s="48">
        <f>SUMIF('UFCA - CR'!$F$80:$F$183,AL11,'UFCA - CR'!$I$80:$I$183)-AM12</f>
        <v>646.19999999999982</v>
      </c>
      <c r="AO11" s="791" t="s">
        <v>1372</v>
      </c>
      <c r="AP11" s="791" t="s">
        <v>1448</v>
      </c>
      <c r="AQ11" s="64" t="s">
        <v>194</v>
      </c>
      <c r="AR11" s="48">
        <f>SUMIF('UFCA - CR'!$F$184:$F$192,AQ11,'UFCA - CR'!$I$184:$I$192)</f>
        <v>121.41</v>
      </c>
      <c r="AT11" s="791" t="s">
        <v>1372</v>
      </c>
      <c r="AU11" s="791" t="s">
        <v>1448</v>
      </c>
      <c r="AV11" s="64" t="s">
        <v>194</v>
      </c>
      <c r="AW11" s="48">
        <f>926.34-AW12</f>
        <v>926.34</v>
      </c>
      <c r="AZ11" s="791" t="s">
        <v>1372</v>
      </c>
      <c r="BA11" s="791" t="s">
        <v>1448</v>
      </c>
      <c r="BB11" s="64" t="s">
        <v>194</v>
      </c>
      <c r="BC11" s="48">
        <v>0</v>
      </c>
      <c r="BG11" s="10"/>
      <c r="BH11" s="10"/>
      <c r="BI11" s="229"/>
    </row>
    <row r="12" spans="1:62">
      <c r="A12" s="791"/>
      <c r="B12" s="791"/>
      <c r="C12" s="64" t="s">
        <v>1497</v>
      </c>
      <c r="D12" s="48">
        <f>SUMIF('UFCA - CR'!$F$4:$F$5,C12,'UFCA - CR'!$I$4:$I$5)</f>
        <v>0</v>
      </c>
      <c r="F12" s="791"/>
      <c r="G12" s="791"/>
      <c r="H12" s="64" t="s">
        <v>1497</v>
      </c>
      <c r="I12" s="48">
        <f>SUMIF('UFCA - CR'!$F$6:$F$18,H12,'UFCA - CR'!$I$6:$I$18)</f>
        <v>0</v>
      </c>
      <c r="K12" s="791"/>
      <c r="L12" s="791"/>
      <c r="M12" s="64" t="s">
        <v>1497</v>
      </c>
      <c r="N12" s="48">
        <f>SUMIF('UFCA - CR'!$F$19:$F$28,M12,'UFCA - CR'!$I$19:$I$28)</f>
        <v>0</v>
      </c>
      <c r="P12" s="791"/>
      <c r="Q12" s="791"/>
      <c r="R12" s="64" t="s">
        <v>1497</v>
      </c>
      <c r="S12" s="48">
        <f>SUMIF('UFCA - CR'!$F$29:$F$51,R12,'UFCA - CR'!$I$29:$I$51)</f>
        <v>0</v>
      </c>
      <c r="U12" s="791"/>
      <c r="V12" s="791"/>
      <c r="W12" s="64" t="s">
        <v>1497</v>
      </c>
      <c r="X12" s="48">
        <f>SUMIF('UFCA - CR'!$F$52:$F$58,W12,'UFCA - CR'!$I$52:$I$58)</f>
        <v>0</v>
      </c>
      <c r="Z12" s="791"/>
      <c r="AA12" s="791"/>
      <c r="AB12" s="64" t="s">
        <v>1497</v>
      </c>
      <c r="AC12" s="48">
        <f>SUMIF('UFCA - CR'!$F$59:$F$71,AB12,'UFCA - CR'!$I$59:$I$71)</f>
        <v>0</v>
      </c>
      <c r="AE12" s="791"/>
      <c r="AF12" s="791"/>
      <c r="AG12" s="64" t="s">
        <v>1497</v>
      </c>
      <c r="AH12" s="48">
        <f>SUMIF('UFCA - CR'!$F$72:$F$79,AG12,'UFCA - CR'!$I$72:$I$79)</f>
        <v>0</v>
      </c>
      <c r="AJ12" s="791"/>
      <c r="AK12" s="791"/>
      <c r="AL12" s="64" t="s">
        <v>1497</v>
      </c>
      <c r="AM12" s="48">
        <v>56.43</v>
      </c>
      <c r="AO12" s="791"/>
      <c r="AP12" s="791"/>
      <c r="AQ12" s="64" t="s">
        <v>1497</v>
      </c>
      <c r="AR12" s="48">
        <f>SUMIF('UFCA - CR'!$F$184:$F$192,AQ12,'UFCA - CR'!$I$184:$I$192)</f>
        <v>0</v>
      </c>
      <c r="AT12" s="791"/>
      <c r="AU12" s="791"/>
      <c r="AV12" s="64" t="s">
        <v>1497</v>
      </c>
      <c r="AW12" s="48">
        <v>0</v>
      </c>
      <c r="AZ12" s="791"/>
      <c r="BA12" s="791"/>
      <c r="BB12" s="64" t="s">
        <v>1497</v>
      </c>
      <c r="BC12" s="48">
        <v>0</v>
      </c>
      <c r="BG12" s="10"/>
      <c r="BH12" s="10"/>
      <c r="BI12" s="229"/>
    </row>
    <row r="13" spans="1:62">
      <c r="A13" s="791"/>
      <c r="B13" s="791"/>
      <c r="C13" s="64" t="s">
        <v>524</v>
      </c>
      <c r="D13" s="48">
        <f>SUMIF('UFCA - CR'!$F$4:$F$5,C13,'UFCA - CR'!$I$4:$I$5)</f>
        <v>0</v>
      </c>
      <c r="F13" s="791"/>
      <c r="G13" s="791"/>
      <c r="H13" s="64" t="s">
        <v>524</v>
      </c>
      <c r="I13" s="48">
        <f>SUMIF('UFCA - CR'!$F$6:$F$18,H13,'UFCA - CR'!$I$6:$I$18)</f>
        <v>0</v>
      </c>
      <c r="K13" s="791"/>
      <c r="L13" s="791"/>
      <c r="M13" s="64" t="s">
        <v>524</v>
      </c>
      <c r="N13" s="48">
        <f>SUMIF('UFCA - CR'!$F$19:$F$28,M13,'UFCA - CR'!$I$19:$I$28)</f>
        <v>0</v>
      </c>
      <c r="P13" s="791"/>
      <c r="Q13" s="791"/>
      <c r="R13" s="64" t="s">
        <v>524</v>
      </c>
      <c r="S13" s="48">
        <f>SUMIF('UFCA - CR'!$F$29:$F$51,R13,'UFCA - CR'!$I$29:$I$51)</f>
        <v>0</v>
      </c>
      <c r="U13" s="791"/>
      <c r="V13" s="791"/>
      <c r="W13" s="64" t="s">
        <v>524</v>
      </c>
      <c r="X13" s="48">
        <f>SUMIF('UFCA - CR'!$F$52:$F$58,W13,'UFCA - CR'!$I$52:$I$58)</f>
        <v>0</v>
      </c>
      <c r="Z13" s="791"/>
      <c r="AA13" s="791"/>
      <c r="AB13" s="64" t="s">
        <v>524</v>
      </c>
      <c r="AC13" s="48">
        <f>SUMIF('UFCA - CR'!$F$59:$F$71,AB13,'UFCA - CR'!$I$59:$I$71)</f>
        <v>0</v>
      </c>
      <c r="AE13" s="791"/>
      <c r="AF13" s="791"/>
      <c r="AG13" s="64" t="s">
        <v>524</v>
      </c>
      <c r="AH13" s="48">
        <f>SUMIF('UFCA - CR'!$F$72:$F$79,AG13,'UFCA - CR'!$I$72:$I$79)</f>
        <v>0</v>
      </c>
      <c r="AJ13" s="791"/>
      <c r="AK13" s="791"/>
      <c r="AL13" s="64" t="s">
        <v>524</v>
      </c>
      <c r="AM13" s="48">
        <f>SUMIF('UFCA - CR'!$F$80:$F$183,AL13,'UFCA - CR'!$I$80:$I$183)-AM14</f>
        <v>0</v>
      </c>
      <c r="AO13" s="791"/>
      <c r="AP13" s="791"/>
      <c r="AQ13" s="64" t="s">
        <v>524</v>
      </c>
      <c r="AR13" s="48">
        <f>SUMIF('UFCA - CR'!$F$184:$F$192,AQ13,'UFCA - CR'!$I$184:$I$192)</f>
        <v>0</v>
      </c>
      <c r="AT13" s="791"/>
      <c r="AU13" s="791"/>
      <c r="AV13" s="64" t="s">
        <v>524</v>
      </c>
      <c r="AW13" s="48">
        <v>14.6</v>
      </c>
      <c r="AZ13" s="791"/>
      <c r="BA13" s="791"/>
      <c r="BB13" s="64" t="s">
        <v>524</v>
      </c>
      <c r="BC13" s="48">
        <v>0</v>
      </c>
      <c r="BG13" s="10"/>
      <c r="BH13" s="10"/>
      <c r="BI13" s="229"/>
    </row>
    <row r="14" spans="1:62">
      <c r="A14" s="791"/>
      <c r="B14" s="791"/>
      <c r="C14" s="64" t="s">
        <v>1370</v>
      </c>
      <c r="D14" s="48">
        <f>SUMIF('UFCA - CR'!$F$4:$F$5,C14,'UFCA - CR'!$I$4:$I$5)</f>
        <v>0</v>
      </c>
      <c r="F14" s="791"/>
      <c r="G14" s="791"/>
      <c r="H14" s="64" t="s">
        <v>1370</v>
      </c>
      <c r="I14" s="48">
        <f>SUMIF('UFCA - CR'!$F$6:$F$18,H14,'UFCA - CR'!$I$6:$I$18)</f>
        <v>0</v>
      </c>
      <c r="K14" s="791"/>
      <c r="L14" s="791"/>
      <c r="M14" s="64" t="s">
        <v>1370</v>
      </c>
      <c r="N14" s="48">
        <f>SUMIF('UFCA - CR'!$F$19:$F$28,M14,'UFCA - CR'!$I$19:$I$28)</f>
        <v>0</v>
      </c>
      <c r="P14" s="791"/>
      <c r="Q14" s="791"/>
      <c r="R14" s="64" t="s">
        <v>1370</v>
      </c>
      <c r="S14" s="48">
        <f>SUMIF('UFCA - CR'!$F$29:$F$51,R14,'UFCA - CR'!$I$29:$I$51)</f>
        <v>0</v>
      </c>
      <c r="U14" s="791"/>
      <c r="V14" s="791"/>
      <c r="W14" s="64" t="s">
        <v>1370</v>
      </c>
      <c r="X14" s="48">
        <f>SUMIF('UFCA - CR'!$F$52:$F$58,W14,'UFCA - CR'!$I$52:$I$58)</f>
        <v>0</v>
      </c>
      <c r="Z14" s="791"/>
      <c r="AA14" s="791"/>
      <c r="AB14" s="64" t="s">
        <v>1370</v>
      </c>
      <c r="AC14" s="48">
        <f>SUMIF('UFCA - CR'!$F$59:$F$71,AB14,'UFCA - CR'!$I$59:$I$71)</f>
        <v>0</v>
      </c>
      <c r="AE14" s="791"/>
      <c r="AF14" s="791"/>
      <c r="AG14" s="64" t="s">
        <v>1370</v>
      </c>
      <c r="AH14" s="48">
        <f>SUMIF('UFCA - CR'!$F$72:$F$79,AG14,'UFCA - CR'!$I$72:$I$79)</f>
        <v>0</v>
      </c>
      <c r="AJ14" s="791"/>
      <c r="AK14" s="791"/>
      <c r="AL14" s="64" t="s">
        <v>1370</v>
      </c>
      <c r="AM14" s="48">
        <f>SUMIF('UFCA - CR'!$F$80:$F$183,AL14,'UFCA - CR'!$I$80:$I$183)</f>
        <v>0</v>
      </c>
      <c r="AO14" s="791"/>
      <c r="AP14" s="791"/>
      <c r="AQ14" s="64" t="s">
        <v>1370</v>
      </c>
      <c r="AR14" s="48">
        <f>SUMIF('UFCA - CR'!$F$184:$F$192,AQ14,'UFCA - CR'!$I$184:$I$192)</f>
        <v>0</v>
      </c>
      <c r="AT14" s="791"/>
      <c r="AU14" s="791"/>
      <c r="AV14" s="64" t="s">
        <v>1370</v>
      </c>
      <c r="AW14" s="48">
        <f>SUMIF('UFCA - CR'!$F$193:$F$194,AV14,'UFCA - CR'!$I$193:$I$194)</f>
        <v>0</v>
      </c>
      <c r="AZ14" s="791"/>
      <c r="BA14" s="791"/>
      <c r="BB14" s="64" t="s">
        <v>1370</v>
      </c>
      <c r="BC14" s="48">
        <v>0</v>
      </c>
      <c r="BG14" s="10"/>
      <c r="BH14" s="10"/>
      <c r="BI14" s="229"/>
    </row>
    <row r="15" spans="1:62">
      <c r="A15" s="791" t="s">
        <v>1373</v>
      </c>
      <c r="B15" s="789"/>
      <c r="C15" s="64" t="s">
        <v>175</v>
      </c>
      <c r="D15" s="48">
        <f>SUMIF('UFCA - CR'!$F$4:$F$5,C15,'UFCA - CR'!$I$4:$I$5)</f>
        <v>0</v>
      </c>
      <c r="F15" s="791" t="s">
        <v>1373</v>
      </c>
      <c r="G15" s="789"/>
      <c r="H15" s="64" t="s">
        <v>175</v>
      </c>
      <c r="I15" s="48">
        <f>SUMIF('UFCA - CR'!$F$6:$F$18,H15,'UFCA - CR'!$I$6:$I$18)</f>
        <v>0</v>
      </c>
      <c r="K15" s="791" t="s">
        <v>1373</v>
      </c>
      <c r="L15" s="789"/>
      <c r="M15" s="64" t="s">
        <v>175</v>
      </c>
      <c r="N15" s="48">
        <f>SUMIF('UFCA - CR'!$F$19:$F$28,M15,'UFCA - CR'!$I$19:$I$28)</f>
        <v>0</v>
      </c>
      <c r="P15" s="791" t="s">
        <v>1373</v>
      </c>
      <c r="Q15" s="789"/>
      <c r="R15" s="64" t="s">
        <v>175</v>
      </c>
      <c r="S15" s="48">
        <f>SUMIF('UFCA - CR'!$F$29:$F$51,R15,'UFCA - CR'!$I$29:$I$51)</f>
        <v>0</v>
      </c>
      <c r="U15" s="791" t="s">
        <v>1373</v>
      </c>
      <c r="V15" s="789"/>
      <c r="W15" s="64" t="s">
        <v>175</v>
      </c>
      <c r="X15" s="48">
        <f>SUMIF('UFCA - CR'!$F$52:$F$58,W15,'UFCA - CR'!$I$52:$I$58)</f>
        <v>0</v>
      </c>
      <c r="Z15" s="791" t="s">
        <v>1373</v>
      </c>
      <c r="AA15" s="789"/>
      <c r="AB15" s="64" t="s">
        <v>175</v>
      </c>
      <c r="AC15" s="48">
        <f>SUMIF('UFCA - CR'!$F$59:$F$71,AB15,'UFCA - CR'!$I$59:$I$71)</f>
        <v>0</v>
      </c>
      <c r="AE15" s="791" t="s">
        <v>1373</v>
      </c>
      <c r="AF15" s="789"/>
      <c r="AG15" s="64" t="s">
        <v>175</v>
      </c>
      <c r="AH15" s="48">
        <f>SUMIF('UFCA - CR'!$F$72:$F$79,AG15,'UFCA - CR'!$I$72:$I$79)</f>
        <v>0</v>
      </c>
      <c r="AJ15" s="791" t="s">
        <v>1373</v>
      </c>
      <c r="AK15" s="789"/>
      <c r="AL15" s="64" t="s">
        <v>175</v>
      </c>
      <c r="AM15" s="48">
        <f>SUMIF('UFCA - CR'!$F$80:$F$183,AL15,'UFCA - CR'!$I$80:$I$183)</f>
        <v>0</v>
      </c>
      <c r="AO15" s="791" t="s">
        <v>1373</v>
      </c>
      <c r="AP15" s="789"/>
      <c r="AQ15" s="64" t="s">
        <v>175</v>
      </c>
      <c r="AR15" s="48">
        <f>SUMIF('UFCA - CR'!$F$184:$F$192,AQ15,'UFCA - CR'!$I$184:$I$192)</f>
        <v>0</v>
      </c>
      <c r="AT15" s="791" t="s">
        <v>1373</v>
      </c>
      <c r="AU15" s="789"/>
      <c r="AV15" s="64" t="s">
        <v>175</v>
      </c>
      <c r="AW15" s="48">
        <f>SUMIF('UFCA - CR'!$F$193:$F$194,AV15,'UFCA - CR'!$I$193:$I$194)</f>
        <v>0</v>
      </c>
      <c r="AZ15" s="791" t="s">
        <v>1373</v>
      </c>
      <c r="BA15" s="789"/>
      <c r="BB15" s="64" t="s">
        <v>175</v>
      </c>
      <c r="BC15" s="48">
        <v>0</v>
      </c>
      <c r="BG15" s="242"/>
      <c r="BI15" s="229"/>
    </row>
    <row r="16" spans="1:62">
      <c r="A16" s="791"/>
      <c r="B16" s="789"/>
      <c r="C16" s="64" t="s">
        <v>109</v>
      </c>
      <c r="D16" s="48">
        <f>SUMIF('UFCA - CR'!$F$4:$F$5,C16,'UFCA - CR'!$I$4:$I$5)</f>
        <v>0</v>
      </c>
      <c r="F16" s="791"/>
      <c r="G16" s="789"/>
      <c r="H16" s="64" t="s">
        <v>109</v>
      </c>
      <c r="I16" s="48">
        <f>SUMIF('UFCA - CR'!$F$6:$F$18,H16,'UFCA - CR'!$I$6:$I$18)</f>
        <v>0</v>
      </c>
      <c r="K16" s="791"/>
      <c r="L16" s="789"/>
      <c r="M16" s="64" t="s">
        <v>109</v>
      </c>
      <c r="N16" s="48">
        <f>SUMIF('UFCA - CR'!$F$19:$F$28,M16,'UFCA - CR'!$I$19:$I$28)</f>
        <v>0</v>
      </c>
      <c r="P16" s="791"/>
      <c r="Q16" s="789"/>
      <c r="R16" s="64" t="s">
        <v>109</v>
      </c>
      <c r="S16" s="48">
        <f>SUMIF('UFCA - CR'!$F$29:$F$51,R16,'UFCA - CR'!$I$29:$I$51)</f>
        <v>0</v>
      </c>
      <c r="U16" s="791"/>
      <c r="V16" s="789"/>
      <c r="W16" s="64" t="s">
        <v>109</v>
      </c>
      <c r="X16" s="48">
        <f>SUMIF('UFCA - CR'!$F$52:$F$58,W16,'UFCA - CR'!$I$52:$I$58)</f>
        <v>0</v>
      </c>
      <c r="Z16" s="791"/>
      <c r="AA16" s="789"/>
      <c r="AB16" s="64" t="s">
        <v>109</v>
      </c>
      <c r="AC16" s="48">
        <f>SUMIF('UFCA - CR'!$F$59:$F$71,AB16,'UFCA - CR'!$I$59:$I$71)</f>
        <v>0</v>
      </c>
      <c r="AE16" s="791"/>
      <c r="AF16" s="789"/>
      <c r="AG16" s="64" t="s">
        <v>109</v>
      </c>
      <c r="AH16" s="48">
        <f>SUMIF('UFCA - CR'!$F$72:$F$79,AG16,'UFCA - CR'!$I$72:$I$79)</f>
        <v>0</v>
      </c>
      <c r="AJ16" s="791"/>
      <c r="AK16" s="789"/>
      <c r="AL16" s="64" t="s">
        <v>109</v>
      </c>
      <c r="AM16" s="48">
        <f>SUMIF('UFCA - CR'!$F$80:$F$183,AL16,'UFCA - CR'!$I$80:$I$183)</f>
        <v>393.55999999999995</v>
      </c>
      <c r="AO16" s="791"/>
      <c r="AP16" s="789"/>
      <c r="AQ16" s="64" t="s">
        <v>109</v>
      </c>
      <c r="AR16" s="48">
        <f>SUMIF('UFCA - CR'!$F$184:$F$192,AQ16,'UFCA - CR'!$I$184:$I$192)</f>
        <v>0</v>
      </c>
      <c r="AT16" s="791"/>
      <c r="AU16" s="789"/>
      <c r="AV16" s="64" t="s">
        <v>109</v>
      </c>
      <c r="AW16" s="48">
        <f>SUMIF('UFCA - CR'!$F$193:$F$194,AV16,'UFCA - CR'!$I$193:$I$194)</f>
        <v>0</v>
      </c>
      <c r="AZ16" s="791"/>
      <c r="BA16" s="789"/>
      <c r="BB16" s="64" t="s">
        <v>109</v>
      </c>
      <c r="BC16" s="48">
        <v>0</v>
      </c>
      <c r="BG16" s="242"/>
      <c r="BI16" s="229"/>
    </row>
    <row r="17" spans="1:63" ht="14.25" customHeight="1">
      <c r="A17" s="791"/>
      <c r="B17" s="789"/>
      <c r="C17" s="64" t="s">
        <v>1313</v>
      </c>
      <c r="D17" s="48">
        <f>SUMIF('UFCA - CR'!$F$4:$F$5,C17,'UFCA - CR'!$I$4:$I$5)</f>
        <v>0</v>
      </c>
      <c r="F17" s="791"/>
      <c r="G17" s="789"/>
      <c r="H17" s="64" t="s">
        <v>1313</v>
      </c>
      <c r="I17" s="48">
        <f>SUMIF('UFCA - CR'!$F$6:$F$18,H17,'UFCA - CR'!$I$6:$I$18)</f>
        <v>0</v>
      </c>
      <c r="K17" s="791"/>
      <c r="L17" s="789"/>
      <c r="M17" s="64" t="s">
        <v>1313</v>
      </c>
      <c r="N17" s="48">
        <f>SUMIF('UFCA - CR'!$F$19:$F$28,M17,'UFCA - CR'!$I$19:$I$28)</f>
        <v>0</v>
      </c>
      <c r="P17" s="791"/>
      <c r="Q17" s="789"/>
      <c r="R17" s="64" t="s">
        <v>1313</v>
      </c>
      <c r="S17" s="48">
        <f>SUMIF('UFCA - CR'!$F$29:$F$51,R17,'UFCA - CR'!$I$29:$I$51)</f>
        <v>0</v>
      </c>
      <c r="U17" s="791"/>
      <c r="V17" s="789"/>
      <c r="W17" s="64" t="s">
        <v>1313</v>
      </c>
      <c r="X17" s="48">
        <f>SUMIF('UFCA - CR'!$F$52:$F$58,W17,'UFCA - CR'!$I$52:$I$58)</f>
        <v>403.2</v>
      </c>
      <c r="Z17" s="791"/>
      <c r="AA17" s="789"/>
      <c r="AB17" s="64" t="s">
        <v>1313</v>
      </c>
      <c r="AC17" s="48">
        <f>SUMIF('UFCA - CR'!$F$59:$F$71,AB17,'UFCA - CR'!$I$59:$I$71)</f>
        <v>0</v>
      </c>
      <c r="AE17" s="791"/>
      <c r="AF17" s="789"/>
      <c r="AG17" s="64" t="s">
        <v>1313</v>
      </c>
      <c r="AH17" s="48">
        <f>SUMIF('UFCA - CR'!$F$72:$F$79,AG17,'UFCA - CR'!$I$72:$I$79)</f>
        <v>0</v>
      </c>
      <c r="AJ17" s="791"/>
      <c r="AK17" s="789"/>
      <c r="AL17" s="64" t="s">
        <v>1313</v>
      </c>
      <c r="AM17" s="48">
        <f>SUMIF('UFCA - CR'!$F$80:$F$183,AL17,'UFCA - CR'!$I$80:$I$183)</f>
        <v>0</v>
      </c>
      <c r="AO17" s="791"/>
      <c r="AP17" s="789"/>
      <c r="AQ17" s="64" t="s">
        <v>1313</v>
      </c>
      <c r="AR17" s="48">
        <f>SUMIF('UFCA - CR'!$F$184:$F$192,AQ17,'UFCA - CR'!$I$184:$I$192)</f>
        <v>0</v>
      </c>
      <c r="AT17" s="791"/>
      <c r="AU17" s="789"/>
      <c r="AV17" s="64" t="s">
        <v>1313</v>
      </c>
      <c r="AW17" s="48">
        <f>SUMIF('UFCA - CR'!$F$193:$F$194,AV17,'UFCA - CR'!$I$193:$I$194)</f>
        <v>0</v>
      </c>
      <c r="AZ17" s="791"/>
      <c r="BA17" s="789"/>
      <c r="BB17" s="64" t="s">
        <v>1313</v>
      </c>
      <c r="BC17" s="48">
        <v>0</v>
      </c>
      <c r="BG17" s="242"/>
      <c r="BI17" s="229"/>
    </row>
    <row r="18" spans="1:63">
      <c r="A18" s="791"/>
      <c r="B18" s="789"/>
      <c r="C18" s="64" t="s">
        <v>110</v>
      </c>
      <c r="D18" s="48">
        <f>SUMIF('UFCA - CR'!$F$4:$F$5,C18,'UFCA - CR'!$I$4:$I$5)</f>
        <v>0</v>
      </c>
      <c r="F18" s="791"/>
      <c r="G18" s="789"/>
      <c r="H18" s="64" t="s">
        <v>110</v>
      </c>
      <c r="I18" s="48">
        <f>SUMIF('UFCA - CR'!$F$6:$F$18,H18,'UFCA - CR'!$I$6:$I$18)</f>
        <v>0</v>
      </c>
      <c r="K18" s="791"/>
      <c r="L18" s="789"/>
      <c r="M18" s="64" t="s">
        <v>110</v>
      </c>
      <c r="N18" s="48">
        <f>SUMIF('UFCA - CR'!$F$19:$F$28,M18,'UFCA - CR'!$I$19:$I$28)</f>
        <v>0</v>
      </c>
      <c r="P18" s="791"/>
      <c r="Q18" s="789"/>
      <c r="R18" s="64" t="s">
        <v>110</v>
      </c>
      <c r="S18" s="48">
        <f>SUMIF('UFCA - CR'!$F$29:$F$51,R18,'UFCA - CR'!$I$29:$I$51)</f>
        <v>0</v>
      </c>
      <c r="U18" s="791"/>
      <c r="V18" s="789"/>
      <c r="W18" s="64" t="s">
        <v>110</v>
      </c>
      <c r="X18" s="48">
        <f>SUMIF('UFCA - CR'!$F$52:$F$58,W18,'UFCA - CR'!$I$52:$I$58)</f>
        <v>0</v>
      </c>
      <c r="Z18" s="791"/>
      <c r="AA18" s="789"/>
      <c r="AB18" s="64" t="s">
        <v>110</v>
      </c>
      <c r="AC18" s="48">
        <f>SUMIF('UFCA - CR'!$F$59:$F$71,AB18,'UFCA - CR'!$I$59:$I$71)</f>
        <v>0</v>
      </c>
      <c r="AE18" s="791"/>
      <c r="AF18" s="789"/>
      <c r="AG18" s="64" t="s">
        <v>110</v>
      </c>
      <c r="AH18" s="48">
        <f>SUMIF('UFCA - CR'!$F$72:$F$79,AG18,'UFCA - CR'!$I$72:$I$79)</f>
        <v>0</v>
      </c>
      <c r="AJ18" s="791"/>
      <c r="AK18" s="789"/>
      <c r="AL18" s="64" t="s">
        <v>110</v>
      </c>
      <c r="AM18" s="48">
        <f>SUMIF('UFCA - CR'!$F$80:$F$183,AL18,'UFCA - CR'!$I$80:$I$183)</f>
        <v>0</v>
      </c>
      <c r="AO18" s="791"/>
      <c r="AP18" s="789"/>
      <c r="AQ18" s="64" t="s">
        <v>110</v>
      </c>
      <c r="AR18" s="48">
        <f>SUMIF('UFCA - CR'!$F$184:$F$192,AQ18,'UFCA - CR'!$I$184:$I$192)</f>
        <v>0</v>
      </c>
      <c r="AT18" s="791"/>
      <c r="AU18" s="789"/>
      <c r="AV18" s="64" t="s">
        <v>110</v>
      </c>
      <c r="AW18" s="48">
        <f>SUMIF('UFCA - CR'!$F$193:$F$194,AV18,'UFCA - CR'!$I$193:$I$194)</f>
        <v>0</v>
      </c>
      <c r="AZ18" s="791"/>
      <c r="BA18" s="789"/>
      <c r="BB18" s="64" t="s">
        <v>110</v>
      </c>
      <c r="BC18" s="48">
        <v>0</v>
      </c>
      <c r="BG18" s="242"/>
      <c r="BI18" s="229"/>
    </row>
    <row r="19" spans="1:63">
      <c r="A19" s="791"/>
      <c r="B19" s="789"/>
      <c r="C19" s="64" t="s">
        <v>211</v>
      </c>
      <c r="D19" s="48">
        <f>SUMIF('UFCA - CR'!$F$4:$F$5,C19,'UFCA - CR'!$I$4:$I$5)</f>
        <v>0</v>
      </c>
      <c r="F19" s="791"/>
      <c r="G19" s="789"/>
      <c r="H19" s="64" t="s">
        <v>211</v>
      </c>
      <c r="I19" s="48">
        <f>SUMIF('UFCA - CR'!$F$6:$F$18,H19,'UFCA - CR'!$I$6:$I$18)</f>
        <v>9.57</v>
      </c>
      <c r="K19" s="791"/>
      <c r="L19" s="789"/>
      <c r="M19" s="64" t="s">
        <v>211</v>
      </c>
      <c r="N19" s="48">
        <f>SUMIF('UFCA - CR'!$F$19:$F$28,M19,'UFCA - CR'!$I$19:$I$28)</f>
        <v>0</v>
      </c>
      <c r="P19" s="791"/>
      <c r="Q19" s="789"/>
      <c r="R19" s="64" t="s">
        <v>211</v>
      </c>
      <c r="S19" s="48">
        <f>SUMIF('UFCA - CR'!$F$29:$F$51,R19,'UFCA - CR'!$I$29:$I$51)</f>
        <v>0</v>
      </c>
      <c r="U19" s="791"/>
      <c r="V19" s="789"/>
      <c r="W19" s="64" t="s">
        <v>211</v>
      </c>
      <c r="X19" s="48">
        <f>SUMIF('UFCA - CR'!$F$52:$F$58,W19,'UFCA - CR'!$I$52:$I$58)</f>
        <v>0</v>
      </c>
      <c r="Z19" s="791"/>
      <c r="AA19" s="789"/>
      <c r="AB19" s="64" t="s">
        <v>211</v>
      </c>
      <c r="AC19" s="48">
        <f>SUMIF('UFCA - CR'!$F$59:$F$71,AB19,'UFCA - CR'!$I$59:$I$71)</f>
        <v>0</v>
      </c>
      <c r="AE19" s="791"/>
      <c r="AF19" s="789"/>
      <c r="AG19" s="64" t="s">
        <v>211</v>
      </c>
      <c r="AH19" s="48">
        <f>SUMIF('UFCA - CR'!$F$72:$F$79,AG19,'UFCA - CR'!$I$72:$I$79)</f>
        <v>31.36</v>
      </c>
      <c r="AJ19" s="791"/>
      <c r="AK19" s="789"/>
      <c r="AL19" s="64" t="s">
        <v>211</v>
      </c>
      <c r="AM19" s="48">
        <f>SUMIF('UFCA - CR'!$F$80:$F$183,AL19,'UFCA - CR'!$I$80:$I$183)</f>
        <v>0</v>
      </c>
      <c r="AO19" s="791"/>
      <c r="AP19" s="789"/>
      <c r="AQ19" s="64" t="s">
        <v>211</v>
      </c>
      <c r="AR19" s="48">
        <f>SUMIF('UFCA - CR'!$F$184:$F$192,AQ19,'UFCA - CR'!$I$184:$I$192)</f>
        <v>0</v>
      </c>
      <c r="AT19" s="791"/>
      <c r="AU19" s="789"/>
      <c r="AV19" s="64" t="s">
        <v>211</v>
      </c>
      <c r="AW19" s="48">
        <f>SUMIF('UFCA - CR'!$F$193:$F$194,AV19,'UFCA - CR'!$I$193:$I$194)</f>
        <v>0</v>
      </c>
      <c r="AZ19" s="791"/>
      <c r="BA19" s="789"/>
      <c r="BB19" s="64" t="s">
        <v>211</v>
      </c>
      <c r="BC19" s="48">
        <v>0</v>
      </c>
      <c r="BG19" s="242"/>
      <c r="BI19" s="229"/>
    </row>
    <row r="20" spans="1:63">
      <c r="A20" s="791"/>
      <c r="B20" s="789"/>
      <c r="C20" s="64" t="s">
        <v>1371</v>
      </c>
      <c r="D20" s="48">
        <f>SUMIF('UFCA - CR'!$F$4:$F$5,C20,'UFCA - CR'!$I$4:$I$5)</f>
        <v>0</v>
      </c>
      <c r="F20" s="791"/>
      <c r="G20" s="789"/>
      <c r="H20" s="64" t="s">
        <v>1371</v>
      </c>
      <c r="I20" s="48">
        <f>SUMIF('UFCA - CR'!$F$6:$F$18,H20,'UFCA - CR'!$I$6:$I$18)</f>
        <v>0</v>
      </c>
      <c r="K20" s="791"/>
      <c r="L20" s="789"/>
      <c r="M20" s="64" t="s">
        <v>1371</v>
      </c>
      <c r="N20" s="48">
        <f>SUMIF('UFCA - CR'!$F$19:$F$28,M20,'UFCA - CR'!$I$19:$I$28)</f>
        <v>0</v>
      </c>
      <c r="P20" s="791"/>
      <c r="Q20" s="789"/>
      <c r="R20" s="64" t="s">
        <v>1371</v>
      </c>
      <c r="S20" s="48">
        <f>SUMIF('UFCA - CR'!$F$29:$F$51,R20,'UFCA - CR'!$I$29:$I$51)</f>
        <v>0</v>
      </c>
      <c r="U20" s="791"/>
      <c r="V20" s="789"/>
      <c r="W20" s="64" t="s">
        <v>1371</v>
      </c>
      <c r="X20" s="48">
        <f>SUMIF('UFCA - CR'!$F$52:$F$58,W20,'UFCA - CR'!$I$52:$I$58)</f>
        <v>0</v>
      </c>
      <c r="Z20" s="791"/>
      <c r="AA20" s="789"/>
      <c r="AB20" s="64" t="s">
        <v>1371</v>
      </c>
      <c r="AC20" s="48">
        <f>SUMIF('UFCA - CR'!$F$59:$F$71,AB20,'UFCA - CR'!$I$59:$I$71)</f>
        <v>0</v>
      </c>
      <c r="AE20" s="791"/>
      <c r="AF20" s="789"/>
      <c r="AG20" s="64" t="s">
        <v>1371</v>
      </c>
      <c r="AH20" s="48">
        <f>SUMIF('UFCA - CR'!$F$72:$F$79,AG20,'UFCA - CR'!$I$72:$I$79)</f>
        <v>0</v>
      </c>
      <c r="AJ20" s="791"/>
      <c r="AK20" s="789"/>
      <c r="AL20" s="64" t="s">
        <v>1371</v>
      </c>
      <c r="AM20" s="48">
        <f>SUMIF('UFCA - CR'!$F$80:$F$183,AL20,'UFCA - CR'!$I$80:$I$183)</f>
        <v>220.06</v>
      </c>
      <c r="AO20" s="791"/>
      <c r="AP20" s="789"/>
      <c r="AQ20" s="64" t="s">
        <v>1371</v>
      </c>
      <c r="AR20" s="48">
        <f>SUMIF('UFCA - CR'!$F$184:$F$192,AQ20,'UFCA - CR'!$I$184:$I$192)</f>
        <v>0</v>
      </c>
      <c r="AT20" s="791"/>
      <c r="AU20" s="789"/>
      <c r="AV20" s="64" t="s">
        <v>1371</v>
      </c>
      <c r="AW20" s="48">
        <f>SUMIF('UFCA - CR'!$F$193:$F$194,AV20,'UFCA - CR'!$I$193:$I$194)</f>
        <v>0</v>
      </c>
      <c r="AZ20" s="791"/>
      <c r="BA20" s="789"/>
      <c r="BB20" s="64" t="s">
        <v>1371</v>
      </c>
      <c r="BC20" s="48">
        <v>0</v>
      </c>
      <c r="BG20" s="242"/>
      <c r="BI20" s="229"/>
    </row>
    <row r="21" spans="1:63">
      <c r="A21" s="791"/>
      <c r="B21" s="789"/>
      <c r="C21" s="64" t="s">
        <v>248</v>
      </c>
      <c r="D21" s="48">
        <f>SUMIF('UFCA - CR'!$F$4:$F$5,C21,'UFCA - CR'!$I$4:$I$5)</f>
        <v>0</v>
      </c>
      <c r="F21" s="791"/>
      <c r="G21" s="789"/>
      <c r="H21" s="64" t="s">
        <v>248</v>
      </c>
      <c r="I21" s="48">
        <f>SUMIF('UFCA - CR'!$F$6:$F$18,H21,'UFCA - CR'!$I$6:$I$18)</f>
        <v>0</v>
      </c>
      <c r="K21" s="791"/>
      <c r="L21" s="789"/>
      <c r="M21" s="64" t="s">
        <v>248</v>
      </c>
      <c r="N21" s="48">
        <f>SUMIF('UFCA - CR'!$F$19:$F$28,M21,'UFCA - CR'!$I$19:$I$28)</f>
        <v>0</v>
      </c>
      <c r="P21" s="791"/>
      <c r="Q21" s="789"/>
      <c r="R21" s="64" t="s">
        <v>248</v>
      </c>
      <c r="S21" s="48">
        <f>SUMIF('UFCA - CR'!$F$29:$F$51,R21,'UFCA - CR'!$I$29:$I$51)</f>
        <v>0</v>
      </c>
      <c r="U21" s="791"/>
      <c r="V21" s="789"/>
      <c r="W21" s="64" t="s">
        <v>248</v>
      </c>
      <c r="X21" s="48">
        <f>SUMIF('UFCA - CR'!$F$52:$F$58,W21,'UFCA - CR'!$I$52:$I$58)</f>
        <v>0</v>
      </c>
      <c r="Z21" s="791"/>
      <c r="AA21" s="789"/>
      <c r="AB21" s="64" t="s">
        <v>248</v>
      </c>
      <c r="AC21" s="48">
        <f>SUMIF('UFCA - CR'!$F$59:$F$71,AB21,'UFCA - CR'!$I$59:$I$71)</f>
        <v>0</v>
      </c>
      <c r="AE21" s="791"/>
      <c r="AF21" s="789"/>
      <c r="AG21" s="64" t="s">
        <v>248</v>
      </c>
      <c r="AH21" s="48">
        <f>SUMIF('UFCA - CR'!$F$72:$F$79,AG21,'UFCA - CR'!$I$72:$I$79)</f>
        <v>53.33</v>
      </c>
      <c r="AJ21" s="791"/>
      <c r="AK21" s="789"/>
      <c r="AL21" s="64" t="s">
        <v>248</v>
      </c>
      <c r="AM21" s="48">
        <f>SUMIF('UFCA - CR'!$F$80:$F$183,AL21,'UFCA - CR'!$I$80:$I$183)</f>
        <v>795.42999999999984</v>
      </c>
      <c r="AO21" s="791"/>
      <c r="AP21" s="789"/>
      <c r="AQ21" s="64" t="s">
        <v>248</v>
      </c>
      <c r="AR21" s="48">
        <f>SUMIF('UFCA - CR'!$F$184:$F$192,AQ21,'UFCA - CR'!$I$184:$I$192)</f>
        <v>0</v>
      </c>
      <c r="AT21" s="791"/>
      <c r="AU21" s="789"/>
      <c r="AV21" s="64" t="s">
        <v>248</v>
      </c>
      <c r="AW21" s="48">
        <f>SUMIF('UFCA - CR'!$F$193:$F$194,AV21,'UFCA - CR'!$I$193:$I$194)</f>
        <v>0</v>
      </c>
      <c r="AZ21" s="791"/>
      <c r="BA21" s="789"/>
      <c r="BB21" s="64" t="s">
        <v>248</v>
      </c>
      <c r="BC21" s="48">
        <v>0</v>
      </c>
      <c r="BG21" s="242"/>
      <c r="BI21" s="229"/>
    </row>
    <row r="22" spans="1:63">
      <c r="A22" s="791"/>
      <c r="B22" s="789"/>
      <c r="C22" s="64" t="s">
        <v>208</v>
      </c>
      <c r="D22" s="48">
        <f>SUMIF('UFCA - CR'!$F$4:$F$5,C22,'UFCA - CR'!$I$4:$I$5)</f>
        <v>0</v>
      </c>
      <c r="F22" s="791"/>
      <c r="G22" s="789"/>
      <c r="H22" s="64" t="s">
        <v>208</v>
      </c>
      <c r="I22" s="48">
        <f>SUMIF('UFCA - CR'!$F$6:$F$18,H22,'UFCA - CR'!$I$6:$I$18)</f>
        <v>0</v>
      </c>
      <c r="K22" s="791"/>
      <c r="L22" s="789"/>
      <c r="M22" s="64" t="s">
        <v>208</v>
      </c>
      <c r="N22" s="48">
        <f>SUMIF('UFCA - CR'!$F$19:$F$28,M22,'UFCA - CR'!$I$19:$I$28)</f>
        <v>88.2</v>
      </c>
      <c r="P22" s="791"/>
      <c r="Q22" s="789"/>
      <c r="R22" s="64" t="s">
        <v>208</v>
      </c>
      <c r="S22" s="48">
        <f>SUMIF('UFCA - CR'!$F$29:$F$51,R22,'UFCA - CR'!$I$29:$I$51)</f>
        <v>88.14</v>
      </c>
      <c r="U22" s="791"/>
      <c r="V22" s="789"/>
      <c r="W22" s="64" t="s">
        <v>208</v>
      </c>
      <c r="X22" s="48">
        <f>SUMIF('UFCA - CR'!$F$52:$F$58,W22,'UFCA - CR'!$I$52:$I$58)</f>
        <v>0</v>
      </c>
      <c r="Z22" s="791"/>
      <c r="AA22" s="789"/>
      <c r="AB22" s="64" t="s">
        <v>208</v>
      </c>
      <c r="AC22" s="48">
        <f>SUMIF('UFCA - CR'!$F$59:$F$71,AB22,'UFCA - CR'!$I$59:$I$71)</f>
        <v>0</v>
      </c>
      <c r="AE22" s="791"/>
      <c r="AF22" s="789"/>
      <c r="AG22" s="64" t="s">
        <v>208</v>
      </c>
      <c r="AH22" s="48">
        <f>SUMIF('UFCA - CR'!$F$72:$F$79,AG22,'UFCA - CR'!$I$72:$I$79)</f>
        <v>0</v>
      </c>
      <c r="AJ22" s="791"/>
      <c r="AK22" s="789"/>
      <c r="AL22" s="64" t="s">
        <v>208</v>
      </c>
      <c r="AM22" s="48">
        <f>SUMIF('UFCA - CR'!$F$80:$F$183,AL22,'UFCA - CR'!$I$80:$I$183)</f>
        <v>463.95999999999987</v>
      </c>
      <c r="AO22" s="791"/>
      <c r="AP22" s="789"/>
      <c r="AQ22" s="64" t="s">
        <v>208</v>
      </c>
      <c r="AR22" s="48">
        <f>SUMIF('UFCA - CR'!$F$184:$F$192,AQ22,'UFCA - CR'!$I$184:$I$192)</f>
        <v>0</v>
      </c>
      <c r="AT22" s="791"/>
      <c r="AU22" s="789"/>
      <c r="AV22" s="64" t="s">
        <v>208</v>
      </c>
      <c r="AW22" s="48">
        <f>SUMIF('UFCA - CR'!$F$193:$F$194,AV22,'UFCA - CR'!$I$193:$I$194)</f>
        <v>0</v>
      </c>
      <c r="AZ22" s="791"/>
      <c r="BA22" s="789"/>
      <c r="BB22" s="64" t="s">
        <v>208</v>
      </c>
      <c r="BC22" s="48">
        <v>0</v>
      </c>
      <c r="BG22" s="242"/>
      <c r="BI22" s="229"/>
    </row>
    <row r="23" spans="1:63">
      <c r="A23" s="791"/>
      <c r="B23" s="789"/>
      <c r="C23" s="64" t="s">
        <v>596</v>
      </c>
      <c r="D23" s="48">
        <f>SUMIF('UFCA - CR'!$F$4:$F$5,C23,'UFCA - CR'!$I$4:$I$5)</f>
        <v>0</v>
      </c>
      <c r="F23" s="791"/>
      <c r="G23" s="789"/>
      <c r="H23" s="64" t="s">
        <v>596</v>
      </c>
      <c r="I23" s="48">
        <f>SUMIF('UFCA - CR'!$F$6:$F$18,H23,'UFCA - CR'!$I$6:$I$18)</f>
        <v>0</v>
      </c>
      <c r="K23" s="791"/>
      <c r="L23" s="789"/>
      <c r="M23" s="64" t="s">
        <v>596</v>
      </c>
      <c r="N23" s="48">
        <f>SUMIF('UFCA - CR'!$F$19:$F$28,M23,'UFCA - CR'!$I$19:$I$28)</f>
        <v>0</v>
      </c>
      <c r="P23" s="791"/>
      <c r="Q23" s="789"/>
      <c r="R23" s="64" t="s">
        <v>596</v>
      </c>
      <c r="S23" s="48">
        <f>SUMIF('UFCA - CR'!$F$29:$F$51,R23,'UFCA - CR'!$I$29:$I$51)</f>
        <v>0</v>
      </c>
      <c r="U23" s="791"/>
      <c r="V23" s="789"/>
      <c r="W23" s="64" t="s">
        <v>596</v>
      </c>
      <c r="X23" s="48">
        <f>SUMIF('UFCA - CR'!$F$52:$F$58,W23,'UFCA - CR'!$I$52:$I$58)</f>
        <v>0</v>
      </c>
      <c r="Z23" s="791"/>
      <c r="AA23" s="789"/>
      <c r="AB23" s="64" t="s">
        <v>596</v>
      </c>
      <c r="AC23" s="48">
        <f>SUMIF('UFCA - CR'!$F$59:$F$71,AB23,'UFCA - CR'!$I$59:$I$71)</f>
        <v>0</v>
      </c>
      <c r="AE23" s="791"/>
      <c r="AF23" s="789"/>
      <c r="AG23" s="64" t="s">
        <v>596</v>
      </c>
      <c r="AH23" s="48">
        <f>SUMIF('UFCA - CR'!$F$72:$F$79,AG23,'UFCA - CR'!$I$72:$I$79)</f>
        <v>0</v>
      </c>
      <c r="AJ23" s="791"/>
      <c r="AK23" s="789"/>
      <c r="AL23" s="64" t="s">
        <v>596</v>
      </c>
      <c r="AM23" s="48">
        <f>SUMIF('UFCA - CR'!$F$80:$F$183,AL23,'UFCA - CR'!$I$80:$I$183)</f>
        <v>132.55000000000001</v>
      </c>
      <c r="AO23" s="791"/>
      <c r="AP23" s="789"/>
      <c r="AQ23" s="64" t="s">
        <v>596</v>
      </c>
      <c r="AR23" s="48">
        <f>SUMIF('UFCA - CR'!$F$184:$F$192,AQ23,'UFCA - CR'!$I$184:$I$192)</f>
        <v>0</v>
      </c>
      <c r="AT23" s="791"/>
      <c r="AU23" s="789"/>
      <c r="AV23" s="64" t="s">
        <v>596</v>
      </c>
      <c r="AW23" s="48">
        <f>SUMIF('UFCA - CR'!$F$193:$F$194,AV23,'UFCA - CR'!$I$193:$I$194)</f>
        <v>0</v>
      </c>
      <c r="AZ23" s="791"/>
      <c r="BA23" s="789"/>
      <c r="BB23" s="64" t="s">
        <v>596</v>
      </c>
      <c r="BC23" s="48">
        <v>0</v>
      </c>
      <c r="BG23" s="242"/>
      <c r="BI23" s="229"/>
    </row>
    <row r="24" spans="1:63">
      <c r="A24" s="791"/>
      <c r="B24" s="789"/>
      <c r="C24" s="64" t="s">
        <v>593</v>
      </c>
      <c r="D24" s="48">
        <f>SUMIF('UFCA - CR'!$F$4:$F$5,C24,'UFCA - CR'!$I$4:$I$5)</f>
        <v>0</v>
      </c>
      <c r="F24" s="791"/>
      <c r="G24" s="789"/>
      <c r="H24" s="64" t="s">
        <v>593</v>
      </c>
      <c r="I24" s="48">
        <f>SUMIF('UFCA - CR'!$F$6:$F$18,H24,'UFCA - CR'!$I$6:$I$18)</f>
        <v>0</v>
      </c>
      <c r="K24" s="791"/>
      <c r="L24" s="789"/>
      <c r="M24" s="64" t="s">
        <v>593</v>
      </c>
      <c r="N24" s="48">
        <f>SUMIF('UFCA - CR'!$F$19:$F$28,M24,'UFCA - CR'!$I$19:$I$28)</f>
        <v>0</v>
      </c>
      <c r="P24" s="791"/>
      <c r="Q24" s="789"/>
      <c r="R24" s="64" t="s">
        <v>593</v>
      </c>
      <c r="S24" s="48">
        <f>SUMIF('UFCA - CR'!$F$29:$F$51,R24,'UFCA - CR'!$I$29:$I$51)</f>
        <v>374.45999999999992</v>
      </c>
      <c r="U24" s="791"/>
      <c r="V24" s="789"/>
      <c r="W24" s="64" t="s">
        <v>593</v>
      </c>
      <c r="X24" s="48">
        <f>SUMIF('UFCA - CR'!$F$52:$F$58,W24,'UFCA - CR'!$I$52:$I$58)</f>
        <v>0</v>
      </c>
      <c r="Z24" s="791"/>
      <c r="AA24" s="789"/>
      <c r="AB24" s="64" t="s">
        <v>593</v>
      </c>
      <c r="AC24" s="48">
        <f>SUMIF('UFCA - CR'!$F$59:$F$71,AB24,'UFCA - CR'!$I$59:$I$71)</f>
        <v>437.73</v>
      </c>
      <c r="AE24" s="791"/>
      <c r="AF24" s="789"/>
      <c r="AG24" s="64" t="s">
        <v>593</v>
      </c>
      <c r="AH24" s="48">
        <f>SUMIF('UFCA - CR'!$F$72:$F$79,AG24,'UFCA - CR'!$I$72:$I$79)</f>
        <v>62.3</v>
      </c>
      <c r="AJ24" s="791"/>
      <c r="AK24" s="789"/>
      <c r="AL24" s="64" t="s">
        <v>593</v>
      </c>
      <c r="AM24" s="48">
        <f>SUMIF('UFCA - CR'!$F$80:$F$183,AL24,'UFCA - CR'!$I$80:$I$183)</f>
        <v>0</v>
      </c>
      <c r="AO24" s="791"/>
      <c r="AP24" s="789"/>
      <c r="AQ24" s="64" t="s">
        <v>593</v>
      </c>
      <c r="AR24" s="48">
        <f>SUMIF('UFCA - CR'!$F$184:$F$192,AQ24,'UFCA - CR'!$I$184:$I$192)</f>
        <v>0</v>
      </c>
      <c r="AT24" s="791"/>
      <c r="AU24" s="789"/>
      <c r="AV24" s="64" t="s">
        <v>593</v>
      </c>
      <c r="AW24" s="48">
        <f>SUMIF('UFCA - CR'!$F$193:$F$194,AV24,'UFCA - CR'!$I$193:$I$194)</f>
        <v>0</v>
      </c>
      <c r="AZ24" s="791"/>
      <c r="BA24" s="789"/>
      <c r="BB24" s="64" t="s">
        <v>593</v>
      </c>
      <c r="BC24" s="48">
        <v>0</v>
      </c>
      <c r="BG24" s="242"/>
      <c r="BI24" s="229"/>
    </row>
    <row r="25" spans="1:63">
      <c r="A25" s="791"/>
      <c r="B25" s="789"/>
      <c r="C25" s="64" t="s">
        <v>595</v>
      </c>
      <c r="D25" s="48">
        <f>SUMIF('UFCA - CR'!$F$4:$F$5,C25,'UFCA - CR'!$I$4:$I$5)</f>
        <v>0</v>
      </c>
      <c r="F25" s="791"/>
      <c r="G25" s="789"/>
      <c r="H25" s="64" t="s">
        <v>595</v>
      </c>
      <c r="I25" s="48">
        <f>SUMIF('UFCA - CR'!$F$6:$F$18,H25,'UFCA - CR'!$I$6:$I$18)</f>
        <v>0</v>
      </c>
      <c r="K25" s="791"/>
      <c r="L25" s="789"/>
      <c r="M25" s="64" t="s">
        <v>595</v>
      </c>
      <c r="N25" s="48">
        <f>SUMIF('UFCA - CR'!$F$19:$F$28,M25,'UFCA - CR'!$I$19:$I$28)</f>
        <v>0</v>
      </c>
      <c r="P25" s="791"/>
      <c r="Q25" s="789"/>
      <c r="R25" s="64" t="s">
        <v>595</v>
      </c>
      <c r="S25" s="48">
        <f>SUMIF('UFCA - CR'!$F$29:$F$51,R25,'UFCA - CR'!$I$29:$I$51)</f>
        <v>0</v>
      </c>
      <c r="U25" s="791"/>
      <c r="V25" s="789"/>
      <c r="W25" s="64" t="s">
        <v>595</v>
      </c>
      <c r="X25" s="48">
        <f>SUMIF('UFCA - CR'!$F$52:$F$58,W25,'UFCA - CR'!$I$52:$I$58)</f>
        <v>0</v>
      </c>
      <c r="Z25" s="791"/>
      <c r="AA25" s="789"/>
      <c r="AB25" s="64" t="s">
        <v>595</v>
      </c>
      <c r="AC25" s="48">
        <f>SUMIF('UFCA - CR'!$F$59:$F$71,AB25,'UFCA - CR'!$I$59:$I$71)</f>
        <v>0</v>
      </c>
      <c r="AE25" s="791"/>
      <c r="AF25" s="789"/>
      <c r="AG25" s="64" t="s">
        <v>595</v>
      </c>
      <c r="AH25" s="48">
        <f>SUMIF('UFCA - CR'!$F$72:$F$79,AG25,'UFCA - CR'!$I$72:$I$79)</f>
        <v>0</v>
      </c>
      <c r="AJ25" s="791"/>
      <c r="AK25" s="789"/>
      <c r="AL25" s="64" t="s">
        <v>595</v>
      </c>
      <c r="AM25" s="48">
        <f>SUMIF('UFCA - CR'!$F$80:$F$183,AL25,'UFCA - CR'!$I$80:$I$183)</f>
        <v>0</v>
      </c>
      <c r="AO25" s="791"/>
      <c r="AP25" s="789"/>
      <c r="AQ25" s="64" t="s">
        <v>595</v>
      </c>
      <c r="AR25" s="48">
        <f>SUMIF('UFCA - CR'!$F$184:$F$192,AQ25,'UFCA - CR'!$I$184:$I$192)</f>
        <v>480</v>
      </c>
      <c r="AT25" s="791"/>
      <c r="AU25" s="789"/>
      <c r="AV25" s="64" t="s">
        <v>595</v>
      </c>
      <c r="AW25" s="48">
        <f>SUMIF('UFCA - CR'!$F$193:$F$194,AV25,'UFCA - CR'!$I$193:$I$194)</f>
        <v>0</v>
      </c>
      <c r="AZ25" s="791"/>
      <c r="BA25" s="789"/>
      <c r="BB25" s="64" t="s">
        <v>595</v>
      </c>
      <c r="BC25" s="48">
        <v>0</v>
      </c>
      <c r="BG25" s="242"/>
      <c r="BI25" s="229"/>
    </row>
    <row r="26" spans="1:63">
      <c r="A26" s="791"/>
      <c r="B26" s="789"/>
      <c r="C26" s="64" t="s">
        <v>210</v>
      </c>
      <c r="D26" s="48">
        <f>SUMIF('UFCA - CR'!$F$4:$F$5,C26,'UFCA - CR'!$I$4:$I$5)</f>
        <v>0</v>
      </c>
      <c r="F26" s="791"/>
      <c r="G26" s="789"/>
      <c r="H26" s="64" t="s">
        <v>210</v>
      </c>
      <c r="I26" s="48">
        <f>SUMIF('UFCA - CR'!$F$6:$F$18,H26,'UFCA - CR'!$I$6:$I$18)</f>
        <v>0</v>
      </c>
      <c r="K26" s="791"/>
      <c r="L26" s="789"/>
      <c r="M26" s="64" t="s">
        <v>210</v>
      </c>
      <c r="N26" s="48">
        <f>SUMIF('UFCA - CR'!$F$19:$F$28,M26,'UFCA - CR'!$I$19:$I$28)</f>
        <v>0</v>
      </c>
      <c r="P26" s="791"/>
      <c r="Q26" s="789"/>
      <c r="R26" s="64" t="s">
        <v>210</v>
      </c>
      <c r="S26" s="48">
        <f>SUMIF('UFCA - CR'!$F$29:$F$51,R26,'UFCA - CR'!$I$29:$I$51)</f>
        <v>0</v>
      </c>
      <c r="U26" s="791"/>
      <c r="V26" s="789"/>
      <c r="W26" s="64" t="s">
        <v>210</v>
      </c>
      <c r="X26" s="48">
        <f>SUMIF('UFCA - CR'!$F$52:$F$58,W26,'UFCA - CR'!$I$52:$I$58)</f>
        <v>0</v>
      </c>
      <c r="Z26" s="791"/>
      <c r="AA26" s="789"/>
      <c r="AB26" s="64" t="s">
        <v>210</v>
      </c>
      <c r="AC26" s="48">
        <f>SUMIF('UFCA - CR'!$F$59:$F$71,AB26,'UFCA - CR'!$I$59:$I$71)</f>
        <v>0</v>
      </c>
      <c r="AE26" s="791"/>
      <c r="AF26" s="789"/>
      <c r="AG26" s="64" t="s">
        <v>210</v>
      </c>
      <c r="AH26" s="48">
        <f>SUMIF('UFCA - CR'!$F$72:$F$79,AG26,'UFCA - CR'!$I$72:$I$79)</f>
        <v>192.38</v>
      </c>
      <c r="AJ26" s="791"/>
      <c r="AK26" s="789"/>
      <c r="AL26" s="64" t="s">
        <v>210</v>
      </c>
      <c r="AM26" s="48">
        <f>SUMIF('UFCA - CR'!$F$80:$F$183,AL26,'UFCA - CR'!$I$80:$I$183)</f>
        <v>0</v>
      </c>
      <c r="AO26" s="791"/>
      <c r="AP26" s="789"/>
      <c r="AQ26" s="64" t="s">
        <v>210</v>
      </c>
      <c r="AR26" s="48">
        <f>SUMIF('UFCA - CR'!$F$184:$F$192,AQ26,'UFCA - CR'!$I$184:$I$192)</f>
        <v>0</v>
      </c>
      <c r="AT26" s="791"/>
      <c r="AU26" s="789"/>
      <c r="AV26" s="64" t="s">
        <v>210</v>
      </c>
      <c r="AW26" s="48">
        <f>SUMIF('UFCA - CR'!$F$193:$F$194,AV26,'UFCA - CR'!$I$193:$I$194)</f>
        <v>0</v>
      </c>
      <c r="AZ26" s="791"/>
      <c r="BA26" s="789"/>
      <c r="BB26" s="64" t="s">
        <v>210</v>
      </c>
      <c r="BC26" s="48">
        <v>0</v>
      </c>
      <c r="BG26" s="242"/>
      <c r="BI26" s="229"/>
    </row>
    <row r="27" spans="1:63">
      <c r="A27" s="791"/>
      <c r="B27" s="789"/>
      <c r="C27" s="64" t="s">
        <v>594</v>
      </c>
      <c r="D27" s="48">
        <f>SUMIF('UFCA - CR'!$F$4:$F$5,C27,'UFCA - CR'!$I$4:$I$5)</f>
        <v>0</v>
      </c>
      <c r="F27" s="791"/>
      <c r="G27" s="789"/>
      <c r="H27" s="64" t="s">
        <v>594</v>
      </c>
      <c r="I27" s="48">
        <f>SUMIF('UFCA - CR'!$F$6:$F$18,H27,'UFCA - CR'!$I$6:$I$18)</f>
        <v>0</v>
      </c>
      <c r="K27" s="791"/>
      <c r="L27" s="789"/>
      <c r="M27" s="64" t="s">
        <v>594</v>
      </c>
      <c r="N27" s="48">
        <f>SUMIF('UFCA - CR'!$F$19:$F$28,M27,'UFCA - CR'!$I$19:$I$28)</f>
        <v>0</v>
      </c>
      <c r="P27" s="791"/>
      <c r="Q27" s="789"/>
      <c r="R27" s="64" t="s">
        <v>594</v>
      </c>
      <c r="S27" s="48">
        <f>SUMIF('UFCA - CR'!$F$29:$F$51,R27,'UFCA - CR'!$I$29:$I$51)</f>
        <v>0</v>
      </c>
      <c r="U27" s="791"/>
      <c r="V27" s="789"/>
      <c r="W27" s="64" t="s">
        <v>594</v>
      </c>
      <c r="X27" s="48">
        <f>SUMIF('UFCA - CR'!$F$52:$F$58,W27,'UFCA - CR'!$I$52:$I$58)</f>
        <v>0</v>
      </c>
      <c r="Z27" s="791"/>
      <c r="AA27" s="789"/>
      <c r="AB27" s="64" t="s">
        <v>594</v>
      </c>
      <c r="AC27" s="48">
        <f>SUMIF('UFCA - CR'!$F$59:$F$71,AB27,'UFCA - CR'!$I$59:$I$71)</f>
        <v>0</v>
      </c>
      <c r="AE27" s="791"/>
      <c r="AF27" s="789"/>
      <c r="AG27" s="64" t="s">
        <v>594</v>
      </c>
      <c r="AH27" s="48">
        <f>SUMIF('UFCA - CR'!$F$72:$F$79,AG27,'UFCA - CR'!$I$72:$I$79)</f>
        <v>0</v>
      </c>
      <c r="AJ27" s="791"/>
      <c r="AK27" s="789"/>
      <c r="AL27" s="64" t="s">
        <v>594</v>
      </c>
      <c r="AM27" s="48">
        <f>SUMIF('UFCA - CR'!$F$80:$F$183,AL27,'UFCA - CR'!$I$80:$I$183)</f>
        <v>0</v>
      </c>
      <c r="AO27" s="791"/>
      <c r="AP27" s="789"/>
      <c r="AQ27" s="64" t="s">
        <v>594</v>
      </c>
      <c r="AR27" s="48">
        <f>SUMIF('UFCA - CR'!$F$184:$F$192,AQ27,'UFCA - CR'!$I$184:$I$192)</f>
        <v>71.460000000000008</v>
      </c>
      <c r="AT27" s="791"/>
      <c r="AU27" s="789"/>
      <c r="AV27" s="64" t="s">
        <v>594</v>
      </c>
      <c r="AW27" s="48">
        <f>SUMIF('UFCA - CR'!$F$193:$F$194,AV27,'UFCA - CR'!$I$193:$I$194)</f>
        <v>0</v>
      </c>
      <c r="AZ27" s="791"/>
      <c r="BA27" s="789"/>
      <c r="BB27" s="64" t="s">
        <v>594</v>
      </c>
      <c r="BC27" s="48">
        <v>0</v>
      </c>
      <c r="BG27" s="242"/>
      <c r="BI27" s="229"/>
    </row>
    <row r="30" spans="1:63">
      <c r="C30" s="18" t="s">
        <v>1503</v>
      </c>
      <c r="D30" s="18">
        <v>1</v>
      </c>
      <c r="E30" s="80"/>
      <c r="H30" s="18" t="s">
        <v>212</v>
      </c>
      <c r="I30" s="18" t="s">
        <v>1355</v>
      </c>
      <c r="M30" s="18" t="s">
        <v>918</v>
      </c>
      <c r="N30" s="18" t="s">
        <v>1356</v>
      </c>
      <c r="R30" s="18" t="s">
        <v>1478</v>
      </c>
      <c r="S30" s="18" t="s">
        <v>1357</v>
      </c>
      <c r="W30" s="18" t="s">
        <v>201</v>
      </c>
      <c r="X30" s="18" t="s">
        <v>1358</v>
      </c>
      <c r="AB30" s="18" t="s">
        <v>1477</v>
      </c>
      <c r="AC30" s="18" t="s">
        <v>1405</v>
      </c>
      <c r="AG30" s="18" t="s">
        <v>210</v>
      </c>
      <c r="AH30" s="18" t="s">
        <v>1406</v>
      </c>
      <c r="AL30" s="18" t="s">
        <v>1481</v>
      </c>
      <c r="AM30" s="18" t="s">
        <v>1409</v>
      </c>
      <c r="AQ30" s="18" t="s">
        <v>1504</v>
      </c>
      <c r="AR30" s="18"/>
      <c r="AV30" s="18" t="s">
        <v>246</v>
      </c>
      <c r="AW30" s="18"/>
      <c r="AY30" s="80"/>
      <c r="BB30" s="18" t="s">
        <v>1505</v>
      </c>
      <c r="BC30" s="18"/>
      <c r="BD30" s="3"/>
      <c r="BE30" s="80"/>
      <c r="BF30" s="80"/>
      <c r="BG30" s="80"/>
      <c r="BJ30" s="3"/>
      <c r="BK30" s="241"/>
    </row>
    <row r="31" spans="1:63" ht="30" customHeight="1">
      <c r="A31" s="48"/>
      <c r="B31" s="12" t="s">
        <v>1362</v>
      </c>
      <c r="C31" s="197">
        <f>SUM(D4:D27)</f>
        <v>7.3</v>
      </c>
      <c r="D31" s="234">
        <f>SUM(C31)</f>
        <v>7.3</v>
      </c>
      <c r="E31" s="216"/>
      <c r="F31" s="48"/>
      <c r="G31" s="12" t="s">
        <v>1362</v>
      </c>
      <c r="H31" s="197">
        <f>SUM(I4:I27)</f>
        <v>370.45</v>
      </c>
      <c r="I31" s="234">
        <f>SUM(H31)</f>
        <v>370.45</v>
      </c>
      <c r="K31" s="48"/>
      <c r="L31" s="12" t="s">
        <v>1362</v>
      </c>
      <c r="M31" s="197">
        <f>SUM(N4:N27)</f>
        <v>292.89999999999998</v>
      </c>
      <c r="N31" s="234">
        <f>SUM(M31)</f>
        <v>292.89999999999998</v>
      </c>
      <c r="P31" s="48"/>
      <c r="Q31" s="12" t="s">
        <v>1362</v>
      </c>
      <c r="R31" s="197">
        <f>SUM(S4:S27)</f>
        <v>844.42999999999984</v>
      </c>
      <c r="S31" s="234">
        <f>SUM(R31)</f>
        <v>844.42999999999984</v>
      </c>
      <c r="U31" s="48"/>
      <c r="V31" s="12" t="s">
        <v>1362</v>
      </c>
      <c r="W31" s="197">
        <f>SUM(X4:X27)</f>
        <v>464.40999999999997</v>
      </c>
      <c r="X31" s="234">
        <f>SUM(W31)</f>
        <v>464.40999999999997</v>
      </c>
      <c r="Z31" s="48"/>
      <c r="AA31" s="12" t="s">
        <v>1362</v>
      </c>
      <c r="AB31" s="197">
        <f>SUM(AC4:AC27)</f>
        <v>754.68000000000006</v>
      </c>
      <c r="AC31" s="234">
        <f>SUM(AB31)</f>
        <v>754.68000000000006</v>
      </c>
      <c r="AE31" s="48"/>
      <c r="AF31" s="12" t="s">
        <v>1362</v>
      </c>
      <c r="AG31" s="197">
        <f>SUM(AH4:AH27)</f>
        <v>395.97</v>
      </c>
      <c r="AH31" s="234">
        <f>SUM(AG31)</f>
        <v>395.97</v>
      </c>
      <c r="AJ31" s="48"/>
      <c r="AK31" s="12" t="s">
        <v>1362</v>
      </c>
      <c r="AL31" s="197">
        <f>SUM(AM4:AM27)</f>
        <v>3092.09</v>
      </c>
      <c r="AM31" s="234">
        <f>SUM(AL31)</f>
        <v>3092.09</v>
      </c>
      <c r="AO31" s="48"/>
      <c r="AP31" s="12" t="s">
        <v>1362</v>
      </c>
      <c r="AQ31" s="197">
        <f>SUM(AR4:AR27)</f>
        <v>712.48</v>
      </c>
      <c r="AR31" s="234">
        <f>SUM(AQ31)</f>
        <v>712.48</v>
      </c>
      <c r="AT31" s="48"/>
      <c r="AU31" s="12" t="s">
        <v>1362</v>
      </c>
      <c r="AV31" s="197">
        <f>SUM(AW4:AW27)</f>
        <v>940.94</v>
      </c>
      <c r="AW31" s="234">
        <f>SUM(AV31)</f>
        <v>940.94</v>
      </c>
      <c r="AY31" s="216"/>
      <c r="AZ31" s="48"/>
      <c r="BA31" s="12" t="s">
        <v>1362</v>
      </c>
      <c r="BB31" s="197">
        <f>SUM(BC4:BC27)</f>
        <v>0</v>
      </c>
      <c r="BC31" s="234">
        <f>SUM(BB31)</f>
        <v>0</v>
      </c>
      <c r="BD31" s="215"/>
      <c r="BE31" s="216"/>
      <c r="BF31" s="216"/>
      <c r="BG31" s="216"/>
      <c r="BI31" s="11"/>
      <c r="BJ31" s="215"/>
      <c r="BK31" s="216"/>
    </row>
    <row r="32" spans="1:63" ht="15" customHeight="1">
      <c r="A32" s="98" t="s">
        <v>1367</v>
      </c>
      <c r="B32" s="200" t="s">
        <v>1361</v>
      </c>
      <c r="C32" s="198">
        <f>SUM(D4)</f>
        <v>5.6</v>
      </c>
      <c r="D32" s="234">
        <f t="shared" ref="D32:D36" si="0">SUM(C32)</f>
        <v>5.6</v>
      </c>
      <c r="E32" s="216"/>
      <c r="F32" s="98" t="s">
        <v>1367</v>
      </c>
      <c r="G32" s="200" t="s">
        <v>1361</v>
      </c>
      <c r="H32" s="198">
        <f>SUM(I4)</f>
        <v>94.5</v>
      </c>
      <c r="I32" s="234">
        <f t="shared" ref="I32:I38" si="1">SUM(H32)</f>
        <v>94.5</v>
      </c>
      <c r="K32" s="98" t="s">
        <v>1367</v>
      </c>
      <c r="L32" s="200" t="s">
        <v>1361</v>
      </c>
      <c r="M32" s="198">
        <f>SUM(N4)</f>
        <v>0</v>
      </c>
      <c r="N32" s="234">
        <f t="shared" ref="N32:N36" si="2">SUM(M32)</f>
        <v>0</v>
      </c>
      <c r="P32" s="98" t="s">
        <v>1367</v>
      </c>
      <c r="Q32" s="200" t="s">
        <v>1361</v>
      </c>
      <c r="R32" s="198">
        <f>SUM(S4)</f>
        <v>0</v>
      </c>
      <c r="S32" s="234">
        <f t="shared" ref="S32:S36" si="3">SUM(R32)</f>
        <v>0</v>
      </c>
      <c r="U32" s="98" t="s">
        <v>1367</v>
      </c>
      <c r="V32" s="200" t="s">
        <v>1361</v>
      </c>
      <c r="W32" s="198">
        <f>SUM(X4)</f>
        <v>0</v>
      </c>
      <c r="X32" s="234">
        <f t="shared" ref="X32:X36" si="4">SUM(W32)</f>
        <v>0</v>
      </c>
      <c r="Z32" s="98" t="s">
        <v>1367</v>
      </c>
      <c r="AA32" s="200" t="s">
        <v>1361</v>
      </c>
      <c r="AB32" s="198">
        <f>SUM(AC4)</f>
        <v>0</v>
      </c>
      <c r="AC32" s="234">
        <f t="shared" ref="AC32:AC36" si="5">SUM(AB32)</f>
        <v>0</v>
      </c>
      <c r="AE32" s="98" t="s">
        <v>1367</v>
      </c>
      <c r="AF32" s="200" t="s">
        <v>1361</v>
      </c>
      <c r="AG32" s="198">
        <f>SUM(AH4)</f>
        <v>18.5</v>
      </c>
      <c r="AH32" s="234">
        <f t="shared" ref="AH32:AH36" si="6">SUM(AG32)</f>
        <v>18.5</v>
      </c>
      <c r="AJ32" s="98" t="s">
        <v>1367</v>
      </c>
      <c r="AK32" s="200" t="s">
        <v>1361</v>
      </c>
      <c r="AL32" s="198">
        <f>SUM(AM4)</f>
        <v>192.64</v>
      </c>
      <c r="AM32" s="234">
        <f t="shared" ref="AM32:AM36" si="7">SUM(AL32)</f>
        <v>192.64</v>
      </c>
      <c r="AO32" s="98" t="s">
        <v>1367</v>
      </c>
      <c r="AP32" s="200" t="s">
        <v>1361</v>
      </c>
      <c r="AQ32" s="198">
        <f>SUM(AR4)</f>
        <v>0</v>
      </c>
      <c r="AR32" s="234">
        <f t="shared" ref="AR32:AR36" si="8">SUM(AQ32)</f>
        <v>0</v>
      </c>
      <c r="AT32" s="98" t="s">
        <v>1367</v>
      </c>
      <c r="AU32" s="200" t="s">
        <v>1361</v>
      </c>
      <c r="AV32" s="198">
        <f>SUM(AW4)</f>
        <v>0</v>
      </c>
      <c r="AW32" s="234">
        <f t="shared" ref="AW32:AW36" si="9">SUM(AV32)</f>
        <v>0</v>
      </c>
      <c r="AY32" s="216"/>
      <c r="AZ32" s="98" t="s">
        <v>1367</v>
      </c>
      <c r="BA32" s="200" t="s">
        <v>1361</v>
      </c>
      <c r="BB32" s="198">
        <f>SUM(BC4)</f>
        <v>0</v>
      </c>
      <c r="BC32" s="234">
        <f t="shared" ref="BC32:BC36" si="10">SUM(BB32)</f>
        <v>0</v>
      </c>
      <c r="BD32" s="4"/>
      <c r="BE32" s="216"/>
      <c r="BF32" s="216"/>
      <c r="BG32" s="216"/>
      <c r="BH32" s="242"/>
      <c r="BI32" s="243"/>
      <c r="BJ32" s="4"/>
      <c r="BK32" s="216"/>
    </row>
    <row r="33" spans="1:63">
      <c r="A33" s="800" t="s">
        <v>1363</v>
      </c>
      <c r="B33" s="48" t="s">
        <v>1365</v>
      </c>
      <c r="C33" s="198">
        <f t="shared" ref="C33" si="11">D5</f>
        <v>0</v>
      </c>
      <c r="D33" s="234">
        <f t="shared" si="0"/>
        <v>0</v>
      </c>
      <c r="E33" s="216"/>
      <c r="F33" s="800" t="s">
        <v>1363</v>
      </c>
      <c r="G33" s="48" t="s">
        <v>1365</v>
      </c>
      <c r="H33" s="198">
        <f t="shared" ref="H33" si="12">I5</f>
        <v>0</v>
      </c>
      <c r="I33" s="234">
        <f t="shared" si="1"/>
        <v>0</v>
      </c>
      <c r="K33" s="800" t="s">
        <v>1363</v>
      </c>
      <c r="L33" s="48" t="s">
        <v>1365</v>
      </c>
      <c r="M33" s="198">
        <f t="shared" ref="M33" si="13">N5</f>
        <v>0</v>
      </c>
      <c r="N33" s="234">
        <f t="shared" si="2"/>
        <v>0</v>
      </c>
      <c r="P33" s="800" t="s">
        <v>1363</v>
      </c>
      <c r="Q33" s="48" t="s">
        <v>1365</v>
      </c>
      <c r="R33" s="198">
        <f t="shared" ref="R33" si="14">S5</f>
        <v>0</v>
      </c>
      <c r="S33" s="234">
        <f t="shared" si="3"/>
        <v>0</v>
      </c>
      <c r="U33" s="800" t="s">
        <v>1363</v>
      </c>
      <c r="V33" s="48" t="s">
        <v>1365</v>
      </c>
      <c r="W33" s="198">
        <f t="shared" ref="W33" si="15">X5</f>
        <v>0</v>
      </c>
      <c r="X33" s="234">
        <f t="shared" si="4"/>
        <v>0</v>
      </c>
      <c r="Z33" s="800" t="s">
        <v>1363</v>
      </c>
      <c r="AA33" s="48" t="s">
        <v>1365</v>
      </c>
      <c r="AB33" s="198">
        <f t="shared" ref="AB33" si="16">AC5</f>
        <v>0</v>
      </c>
      <c r="AC33" s="234">
        <f t="shared" si="5"/>
        <v>0</v>
      </c>
      <c r="AE33" s="800" t="s">
        <v>1363</v>
      </c>
      <c r="AF33" s="48" t="s">
        <v>1365</v>
      </c>
      <c r="AG33" s="198">
        <f t="shared" ref="AG33" si="17">AH5</f>
        <v>0</v>
      </c>
      <c r="AH33" s="234">
        <f t="shared" si="6"/>
        <v>0</v>
      </c>
      <c r="AJ33" s="800" t="s">
        <v>1363</v>
      </c>
      <c r="AK33" s="48" t="s">
        <v>1365</v>
      </c>
      <c r="AL33" s="198">
        <f t="shared" ref="AL33" si="18">AM5</f>
        <v>0</v>
      </c>
      <c r="AM33" s="234">
        <f t="shared" si="7"/>
        <v>0</v>
      </c>
      <c r="AO33" s="800" t="s">
        <v>1363</v>
      </c>
      <c r="AP33" s="48" t="s">
        <v>1365</v>
      </c>
      <c r="AQ33" s="198">
        <f t="shared" ref="AQ33" si="19">AR5</f>
        <v>0</v>
      </c>
      <c r="AR33" s="234">
        <f t="shared" si="8"/>
        <v>0</v>
      </c>
      <c r="AT33" s="800" t="s">
        <v>1363</v>
      </c>
      <c r="AU33" s="48" t="s">
        <v>1365</v>
      </c>
      <c r="AV33" s="198">
        <f t="shared" ref="AV33" si="20">AW5</f>
        <v>0</v>
      </c>
      <c r="AW33" s="234">
        <f t="shared" si="9"/>
        <v>0</v>
      </c>
      <c r="AY33" s="216"/>
      <c r="AZ33" s="800" t="s">
        <v>1363</v>
      </c>
      <c r="BA33" s="48" t="s">
        <v>1365</v>
      </c>
      <c r="BB33" s="198">
        <f t="shared" ref="BB33" si="21">BC5</f>
        <v>0</v>
      </c>
      <c r="BC33" s="234">
        <f t="shared" si="10"/>
        <v>0</v>
      </c>
      <c r="BD33" s="4"/>
      <c r="BE33" s="216"/>
      <c r="BF33" s="216"/>
      <c r="BG33" s="216"/>
      <c r="BH33" s="242"/>
      <c r="BJ33" s="4"/>
      <c r="BK33" s="216"/>
    </row>
    <row r="34" spans="1:63" ht="29.25" customHeight="1">
      <c r="A34" s="801"/>
      <c r="B34" s="48" t="s">
        <v>1366</v>
      </c>
      <c r="C34" s="198">
        <v>0</v>
      </c>
      <c r="D34" s="234">
        <f t="shared" si="0"/>
        <v>0</v>
      </c>
      <c r="E34" s="216"/>
      <c r="F34" s="801"/>
      <c r="G34" s="48" t="s">
        <v>1366</v>
      </c>
      <c r="H34" s="198">
        <v>0</v>
      </c>
      <c r="I34" s="234">
        <f t="shared" si="1"/>
        <v>0</v>
      </c>
      <c r="K34" s="801"/>
      <c r="L34" s="48" t="s">
        <v>1366</v>
      </c>
      <c r="M34" s="198">
        <v>0</v>
      </c>
      <c r="N34" s="234">
        <f t="shared" si="2"/>
        <v>0</v>
      </c>
      <c r="P34" s="801"/>
      <c r="Q34" s="48" t="s">
        <v>1366</v>
      </c>
      <c r="R34" s="198">
        <v>0</v>
      </c>
      <c r="S34" s="234">
        <f t="shared" si="3"/>
        <v>0</v>
      </c>
      <c r="U34" s="801"/>
      <c r="V34" s="48" t="s">
        <v>1366</v>
      </c>
      <c r="W34" s="198">
        <v>0</v>
      </c>
      <c r="X34" s="234">
        <f t="shared" si="4"/>
        <v>0</v>
      </c>
      <c r="Z34" s="801"/>
      <c r="AA34" s="48" t="s">
        <v>1366</v>
      </c>
      <c r="AB34" s="198">
        <v>0</v>
      </c>
      <c r="AC34" s="234">
        <f t="shared" si="5"/>
        <v>0</v>
      </c>
      <c r="AE34" s="801"/>
      <c r="AF34" s="48" t="s">
        <v>1366</v>
      </c>
      <c r="AG34" s="198">
        <v>0</v>
      </c>
      <c r="AH34" s="234">
        <f t="shared" si="6"/>
        <v>0</v>
      </c>
      <c r="AJ34" s="801"/>
      <c r="AK34" s="48" t="s">
        <v>1366</v>
      </c>
      <c r="AL34" s="198">
        <v>0</v>
      </c>
      <c r="AM34" s="234">
        <f t="shared" si="7"/>
        <v>0</v>
      </c>
      <c r="AO34" s="801"/>
      <c r="AP34" s="48" t="s">
        <v>1366</v>
      </c>
      <c r="AQ34" s="198">
        <v>0</v>
      </c>
      <c r="AR34" s="234">
        <f t="shared" si="8"/>
        <v>0</v>
      </c>
      <c r="AT34" s="801"/>
      <c r="AU34" s="48" t="s">
        <v>1366</v>
      </c>
      <c r="AV34" s="198">
        <v>0</v>
      </c>
      <c r="AW34" s="234">
        <f t="shared" si="9"/>
        <v>0</v>
      </c>
      <c r="AY34" s="216"/>
      <c r="AZ34" s="801"/>
      <c r="BA34" s="48" t="s">
        <v>1366</v>
      </c>
      <c r="BB34" s="198">
        <v>0</v>
      </c>
      <c r="BC34" s="234">
        <f t="shared" si="10"/>
        <v>0</v>
      </c>
      <c r="BD34" s="4"/>
      <c r="BE34" s="216"/>
      <c r="BF34" s="216"/>
      <c r="BG34" s="216"/>
      <c r="BH34" s="242"/>
      <c r="BJ34" s="4"/>
      <c r="BK34" s="216"/>
    </row>
    <row r="35" spans="1:63">
      <c r="A35" s="797" t="s">
        <v>1368</v>
      </c>
      <c r="B35" s="48" t="s">
        <v>1365</v>
      </c>
      <c r="C35" s="198">
        <f>SUM(D6:D10)</f>
        <v>1.7</v>
      </c>
      <c r="D35" s="234">
        <f t="shared" si="0"/>
        <v>1.7</v>
      </c>
      <c r="E35" s="216"/>
      <c r="F35" s="797" t="s">
        <v>1368</v>
      </c>
      <c r="G35" s="48" t="s">
        <v>1365</v>
      </c>
      <c r="H35" s="198">
        <f>SUM(I6:I10)</f>
        <v>27.93</v>
      </c>
      <c r="I35" s="234">
        <f t="shared" si="1"/>
        <v>27.93</v>
      </c>
      <c r="K35" s="797" t="s">
        <v>1368</v>
      </c>
      <c r="L35" s="48" t="s">
        <v>1365</v>
      </c>
      <c r="M35" s="198">
        <f>SUM(N6:N10)</f>
        <v>20.2</v>
      </c>
      <c r="N35" s="234">
        <f t="shared" si="2"/>
        <v>20.2</v>
      </c>
      <c r="P35" s="797" t="s">
        <v>1368</v>
      </c>
      <c r="Q35" s="48" t="s">
        <v>1365</v>
      </c>
      <c r="R35" s="198">
        <f>SUM(S6:S10)</f>
        <v>110.68</v>
      </c>
      <c r="S35" s="234">
        <f t="shared" si="3"/>
        <v>110.68</v>
      </c>
      <c r="U35" s="797" t="s">
        <v>1368</v>
      </c>
      <c r="V35" s="48" t="s">
        <v>1365</v>
      </c>
      <c r="W35" s="198">
        <f>SUM(X6:X10)</f>
        <v>61.21</v>
      </c>
      <c r="X35" s="234">
        <f t="shared" si="4"/>
        <v>61.21</v>
      </c>
      <c r="Z35" s="797" t="s">
        <v>1368</v>
      </c>
      <c r="AA35" s="48" t="s">
        <v>1365</v>
      </c>
      <c r="AB35" s="198">
        <f>SUM(AC6:AC10)</f>
        <v>48.8</v>
      </c>
      <c r="AC35" s="234">
        <f t="shared" si="5"/>
        <v>48.8</v>
      </c>
      <c r="AE35" s="797" t="s">
        <v>1368</v>
      </c>
      <c r="AF35" s="48" t="s">
        <v>1365</v>
      </c>
      <c r="AG35" s="198">
        <f>SUM(AH6:AH10)</f>
        <v>30.6</v>
      </c>
      <c r="AH35" s="234">
        <f t="shared" si="6"/>
        <v>30.6</v>
      </c>
      <c r="AJ35" s="797" t="s">
        <v>1368</v>
      </c>
      <c r="AK35" s="48" t="s">
        <v>1365</v>
      </c>
      <c r="AL35" s="198">
        <f>SUM(AM6:AM10)</f>
        <v>191.26</v>
      </c>
      <c r="AM35" s="234">
        <f t="shared" si="7"/>
        <v>191.26</v>
      </c>
      <c r="AO35" s="797" t="s">
        <v>1368</v>
      </c>
      <c r="AP35" s="48" t="s">
        <v>1365</v>
      </c>
      <c r="AQ35" s="198">
        <f>SUM(AR6:AR10)</f>
        <v>39.61</v>
      </c>
      <c r="AR35" s="234">
        <f t="shared" si="8"/>
        <v>39.61</v>
      </c>
      <c r="AT35" s="797" t="s">
        <v>1368</v>
      </c>
      <c r="AU35" s="48" t="s">
        <v>1365</v>
      </c>
      <c r="AV35" s="198">
        <f>SUM(AW6:AW10)</f>
        <v>0</v>
      </c>
      <c r="AW35" s="234">
        <f t="shared" si="9"/>
        <v>0</v>
      </c>
      <c r="AY35" s="216"/>
      <c r="AZ35" s="797" t="s">
        <v>1368</v>
      </c>
      <c r="BA35" s="48" t="s">
        <v>1365</v>
      </c>
      <c r="BB35" s="198">
        <f>SUM(BC6:BC10)</f>
        <v>0</v>
      </c>
      <c r="BC35" s="234">
        <f t="shared" si="10"/>
        <v>0</v>
      </c>
      <c r="BD35" s="4"/>
      <c r="BE35" s="216"/>
      <c r="BF35" s="216"/>
      <c r="BG35" s="216"/>
      <c r="BH35" s="229"/>
      <c r="BJ35" s="4"/>
      <c r="BK35" s="216"/>
    </row>
    <row r="36" spans="1:63">
      <c r="A36" s="797"/>
      <c r="B36" s="48" t="s">
        <v>1366</v>
      </c>
      <c r="C36" s="198">
        <v>0</v>
      </c>
      <c r="D36" s="234">
        <f t="shared" si="0"/>
        <v>0</v>
      </c>
      <c r="E36" s="216"/>
      <c r="F36" s="797"/>
      <c r="G36" s="48" t="s">
        <v>1366</v>
      </c>
      <c r="H36" s="198">
        <v>0</v>
      </c>
      <c r="I36" s="234">
        <f t="shared" si="1"/>
        <v>0</v>
      </c>
      <c r="K36" s="797"/>
      <c r="L36" s="48" t="s">
        <v>1366</v>
      </c>
      <c r="M36" s="198">
        <v>0</v>
      </c>
      <c r="N36" s="234">
        <f t="shared" si="2"/>
        <v>0</v>
      </c>
      <c r="P36" s="797"/>
      <c r="Q36" s="48" t="s">
        <v>1366</v>
      </c>
      <c r="R36" s="198">
        <v>0</v>
      </c>
      <c r="S36" s="234">
        <f t="shared" si="3"/>
        <v>0</v>
      </c>
      <c r="U36" s="797"/>
      <c r="V36" s="48" t="s">
        <v>1366</v>
      </c>
      <c r="W36" s="198">
        <v>0</v>
      </c>
      <c r="X36" s="234">
        <f t="shared" si="4"/>
        <v>0</v>
      </c>
      <c r="Z36" s="797"/>
      <c r="AA36" s="48" t="s">
        <v>1366</v>
      </c>
      <c r="AB36" s="198">
        <v>0</v>
      </c>
      <c r="AC36" s="234">
        <f t="shared" si="5"/>
        <v>0</v>
      </c>
      <c r="AE36" s="797"/>
      <c r="AF36" s="48" t="s">
        <v>1366</v>
      </c>
      <c r="AG36" s="198">
        <v>0</v>
      </c>
      <c r="AH36" s="234">
        <f t="shared" si="6"/>
        <v>0</v>
      </c>
      <c r="AJ36" s="797"/>
      <c r="AK36" s="48" t="s">
        <v>1366</v>
      </c>
      <c r="AL36" s="198">
        <v>0</v>
      </c>
      <c r="AM36" s="234">
        <f t="shared" si="7"/>
        <v>0</v>
      </c>
      <c r="AO36" s="797"/>
      <c r="AP36" s="48" t="s">
        <v>1366</v>
      </c>
      <c r="AQ36" s="198">
        <v>0</v>
      </c>
      <c r="AR36" s="234">
        <f t="shared" si="8"/>
        <v>0</v>
      </c>
      <c r="AT36" s="797"/>
      <c r="AU36" s="48" t="s">
        <v>1366</v>
      </c>
      <c r="AV36" s="198">
        <v>0</v>
      </c>
      <c r="AW36" s="234">
        <f t="shared" si="9"/>
        <v>0</v>
      </c>
      <c r="AY36" s="216"/>
      <c r="AZ36" s="797"/>
      <c r="BA36" s="48" t="s">
        <v>1366</v>
      </c>
      <c r="BB36" s="198">
        <v>0</v>
      </c>
      <c r="BC36" s="234">
        <f t="shared" si="10"/>
        <v>0</v>
      </c>
      <c r="BD36" s="4"/>
      <c r="BE36" s="216"/>
      <c r="BF36" s="216"/>
      <c r="BG36" s="216"/>
      <c r="BH36" s="229"/>
      <c r="BJ36" s="4"/>
      <c r="BK36" s="216"/>
    </row>
    <row r="37" spans="1:63">
      <c r="A37" s="798" t="s">
        <v>1472</v>
      </c>
      <c r="B37" s="48" t="s">
        <v>1386</v>
      </c>
      <c r="C37" s="198">
        <v>0</v>
      </c>
      <c r="D37" s="234">
        <v>933.45</v>
      </c>
      <c r="E37" s="216"/>
      <c r="F37" s="798" t="s">
        <v>1472</v>
      </c>
      <c r="G37" s="48" t="s">
        <v>1386</v>
      </c>
      <c r="H37" s="198">
        <v>0</v>
      </c>
      <c r="I37" s="234">
        <f t="shared" si="1"/>
        <v>0</v>
      </c>
      <c r="K37" s="798" t="s">
        <v>1472</v>
      </c>
      <c r="L37" s="48" t="s">
        <v>1386</v>
      </c>
      <c r="M37" s="198">
        <v>0</v>
      </c>
      <c r="N37" s="234">
        <f>SUM(M37)</f>
        <v>0</v>
      </c>
      <c r="P37" s="798" t="s">
        <v>1472</v>
      </c>
      <c r="Q37" s="48" t="s">
        <v>1386</v>
      </c>
      <c r="R37" s="198">
        <v>0</v>
      </c>
      <c r="S37" s="234">
        <f>SUM(R37)</f>
        <v>0</v>
      </c>
      <c r="U37" s="798" t="s">
        <v>1472</v>
      </c>
      <c r="V37" s="48" t="s">
        <v>1386</v>
      </c>
      <c r="W37" s="198">
        <v>0</v>
      </c>
      <c r="X37" s="234">
        <f>SUM(W37)</f>
        <v>0</v>
      </c>
      <c r="Z37" s="798" t="s">
        <v>1472</v>
      </c>
      <c r="AA37" s="48" t="s">
        <v>1386</v>
      </c>
      <c r="AB37" s="198">
        <v>0</v>
      </c>
      <c r="AC37" s="234">
        <f>SUM(AB37)</f>
        <v>0</v>
      </c>
      <c r="AE37" s="798" t="s">
        <v>1472</v>
      </c>
      <c r="AF37" s="48" t="s">
        <v>1386</v>
      </c>
      <c r="AG37" s="198">
        <v>0</v>
      </c>
      <c r="AH37" s="234">
        <f>SUM(AG37)</f>
        <v>0</v>
      </c>
      <c r="AJ37" s="798" t="s">
        <v>1472</v>
      </c>
      <c r="AK37" s="48" t="s">
        <v>1386</v>
      </c>
      <c r="AL37" s="198">
        <v>0</v>
      </c>
      <c r="AM37" s="234">
        <f>SUM(AL37)</f>
        <v>0</v>
      </c>
      <c r="AO37" s="798" t="s">
        <v>1472</v>
      </c>
      <c r="AP37" s="48" t="s">
        <v>1386</v>
      </c>
      <c r="AQ37" s="198">
        <v>0</v>
      </c>
      <c r="AR37" s="234">
        <f>SUM(AQ37)</f>
        <v>0</v>
      </c>
      <c r="AT37" s="798" t="s">
        <v>1472</v>
      </c>
      <c r="AU37" s="48" t="s">
        <v>1386</v>
      </c>
      <c r="AV37" s="198">
        <v>0</v>
      </c>
      <c r="AW37" s="234">
        <f>SUM(AV37)</f>
        <v>0</v>
      </c>
      <c r="AY37" s="216"/>
      <c r="AZ37" s="798" t="s">
        <v>1472</v>
      </c>
      <c r="BA37" s="48" t="s">
        <v>1386</v>
      </c>
      <c r="BB37" s="198">
        <v>0</v>
      </c>
      <c r="BC37" s="234">
        <f>SUM(BB37)</f>
        <v>0</v>
      </c>
      <c r="BD37" s="4"/>
      <c r="BE37" s="216"/>
      <c r="BF37" s="216"/>
      <c r="BG37" s="216"/>
      <c r="BH37" s="10"/>
      <c r="BJ37" s="4"/>
      <c r="BK37" s="216"/>
    </row>
    <row r="38" spans="1:63">
      <c r="A38" s="798"/>
      <c r="B38" s="48" t="s">
        <v>1387</v>
      </c>
      <c r="C38" s="198">
        <v>0</v>
      </c>
      <c r="D38" s="234">
        <v>64</v>
      </c>
      <c r="E38" s="216"/>
      <c r="F38" s="798"/>
      <c r="G38" s="48" t="s">
        <v>1387</v>
      </c>
      <c r="H38" s="198">
        <v>0</v>
      </c>
      <c r="I38" s="234">
        <f t="shared" si="1"/>
        <v>0</v>
      </c>
      <c r="K38" s="798"/>
      <c r="L38" s="48" t="s">
        <v>1387</v>
      </c>
      <c r="M38" s="198">
        <v>0</v>
      </c>
      <c r="N38" s="234">
        <f>SUM(M38)</f>
        <v>0</v>
      </c>
      <c r="P38" s="798"/>
      <c r="Q38" s="48" t="s">
        <v>1387</v>
      </c>
      <c r="R38" s="198">
        <v>0</v>
      </c>
      <c r="S38" s="234">
        <f>SUM(R38)</f>
        <v>0</v>
      </c>
      <c r="U38" s="798"/>
      <c r="V38" s="48" t="s">
        <v>1387</v>
      </c>
      <c r="W38" s="198">
        <v>0</v>
      </c>
      <c r="X38" s="234">
        <f>SUM(W38)</f>
        <v>0</v>
      </c>
      <c r="Z38" s="798"/>
      <c r="AA38" s="48" t="s">
        <v>1387</v>
      </c>
      <c r="AB38" s="198">
        <v>0</v>
      </c>
      <c r="AC38" s="234">
        <f>SUM(AB38)</f>
        <v>0</v>
      </c>
      <c r="AE38" s="798"/>
      <c r="AF38" s="48" t="s">
        <v>1387</v>
      </c>
      <c r="AG38" s="198">
        <v>0</v>
      </c>
      <c r="AH38" s="234">
        <f>SUM(AG38)</f>
        <v>0</v>
      </c>
      <c r="AJ38" s="798"/>
      <c r="AK38" s="48" t="s">
        <v>1387</v>
      </c>
      <c r="AL38" s="198">
        <v>0</v>
      </c>
      <c r="AM38" s="234">
        <f>SUM(AL38)</f>
        <v>0</v>
      </c>
      <c r="AO38" s="798"/>
      <c r="AP38" s="48" t="s">
        <v>1387</v>
      </c>
      <c r="AQ38" s="198">
        <v>0</v>
      </c>
      <c r="AR38" s="234">
        <f>SUM(AQ38)</f>
        <v>0</v>
      </c>
      <c r="AT38" s="798"/>
      <c r="AU38" s="48" t="s">
        <v>1387</v>
      </c>
      <c r="AV38" s="198">
        <v>0</v>
      </c>
      <c r="AW38" s="234">
        <f>SUM(AV38)</f>
        <v>0</v>
      </c>
      <c r="AY38" s="216"/>
      <c r="AZ38" s="798"/>
      <c r="BA38" s="48" t="s">
        <v>1387</v>
      </c>
      <c r="BB38" s="198">
        <v>0</v>
      </c>
      <c r="BC38" s="234">
        <f>SUM(BB38)</f>
        <v>0</v>
      </c>
      <c r="BD38" s="4"/>
      <c r="BE38" s="216"/>
      <c r="BF38" s="216"/>
      <c r="BG38" s="216"/>
      <c r="BH38" s="10"/>
      <c r="BJ38" s="4"/>
      <c r="BK38" s="216"/>
    </row>
    <row r="39" spans="1:63">
      <c r="A39" s="798"/>
      <c r="B39" s="48" t="s">
        <v>1388</v>
      </c>
      <c r="C39" s="198">
        <v>0</v>
      </c>
      <c r="D39" s="234">
        <v>3</v>
      </c>
      <c r="E39" s="216"/>
      <c r="F39" s="798"/>
      <c r="G39" s="48" t="s">
        <v>1388</v>
      </c>
      <c r="H39" s="198">
        <v>0</v>
      </c>
      <c r="I39" s="234">
        <v>0</v>
      </c>
      <c r="K39" s="798"/>
      <c r="L39" s="48" t="s">
        <v>1388</v>
      </c>
      <c r="M39" s="198">
        <v>0</v>
      </c>
      <c r="N39" s="234">
        <f>SUM(M39)</f>
        <v>0</v>
      </c>
      <c r="P39" s="798"/>
      <c r="Q39" s="48" t="s">
        <v>1388</v>
      </c>
      <c r="R39" s="198">
        <v>0</v>
      </c>
      <c r="S39" s="234">
        <f>SUM(R39)</f>
        <v>0</v>
      </c>
      <c r="U39" s="798"/>
      <c r="V39" s="48" t="s">
        <v>1388</v>
      </c>
      <c r="W39" s="198">
        <v>0</v>
      </c>
      <c r="X39" s="234">
        <f>SUM(W39)</f>
        <v>0</v>
      </c>
      <c r="Z39" s="798"/>
      <c r="AA39" s="48" t="s">
        <v>1388</v>
      </c>
      <c r="AB39" s="198">
        <v>0</v>
      </c>
      <c r="AC39" s="234">
        <f>SUM(AB39)</f>
        <v>0</v>
      </c>
      <c r="AE39" s="798"/>
      <c r="AF39" s="48" t="s">
        <v>1388</v>
      </c>
      <c r="AG39" s="198">
        <v>0</v>
      </c>
      <c r="AH39" s="234">
        <f>SUM(AG39)</f>
        <v>0</v>
      </c>
      <c r="AJ39" s="798"/>
      <c r="AK39" s="48" t="s">
        <v>1388</v>
      </c>
      <c r="AL39" s="198">
        <v>0</v>
      </c>
      <c r="AM39" s="234">
        <f>SUM(AL39)</f>
        <v>0</v>
      </c>
      <c r="AO39" s="798"/>
      <c r="AP39" s="48" t="s">
        <v>1388</v>
      </c>
      <c r="AQ39" s="198">
        <v>0</v>
      </c>
      <c r="AR39" s="234">
        <f>SUM(AQ39)</f>
        <v>0</v>
      </c>
      <c r="AT39" s="798"/>
      <c r="AU39" s="48" t="s">
        <v>1388</v>
      </c>
      <c r="AV39" s="198">
        <v>0</v>
      </c>
      <c r="AW39" s="234">
        <f>SUM(AV39)</f>
        <v>0</v>
      </c>
      <c r="AY39" s="216"/>
      <c r="AZ39" s="798"/>
      <c r="BA39" s="48" t="s">
        <v>1388</v>
      </c>
      <c r="BB39" s="198">
        <v>0</v>
      </c>
      <c r="BC39" s="234">
        <f>SUM(BB39)</f>
        <v>0</v>
      </c>
      <c r="BD39" s="4"/>
      <c r="BE39" s="216"/>
      <c r="BF39" s="216"/>
      <c r="BG39" s="216"/>
      <c r="BH39" s="10"/>
      <c r="BJ39" s="4"/>
      <c r="BK39" s="216"/>
    </row>
    <row r="40" spans="1:63" ht="79.5" customHeight="1">
      <c r="A40" s="799"/>
      <c r="B40" s="61"/>
      <c r="C40" s="198">
        <f>SUM(D11:D14)</f>
        <v>0</v>
      </c>
      <c r="D40" s="234">
        <f t="shared" ref="D40:D41" si="22">SUM(C40)</f>
        <v>0</v>
      </c>
      <c r="E40" s="216"/>
      <c r="F40" s="799"/>
      <c r="G40" s="230" t="s">
        <v>1512</v>
      </c>
      <c r="H40" s="198">
        <f>SUM(I11:I14)</f>
        <v>238.45000000000002</v>
      </c>
      <c r="I40" s="234">
        <f t="shared" ref="I40:I41" si="23">SUM(H40)</f>
        <v>238.45000000000002</v>
      </c>
      <c r="K40" s="799"/>
      <c r="L40" s="230" t="s">
        <v>1511</v>
      </c>
      <c r="M40" s="198">
        <f>SUM(N11:N14)</f>
        <v>184.5</v>
      </c>
      <c r="N40" s="234">
        <f t="shared" ref="N40:N41" si="24">SUM(M40)</f>
        <v>184.5</v>
      </c>
      <c r="P40" s="799"/>
      <c r="Q40" s="230" t="s">
        <v>1513</v>
      </c>
      <c r="R40" s="198">
        <f>SUM(S11:S14)</f>
        <v>271.14999999999998</v>
      </c>
      <c r="S40" s="234">
        <f t="shared" ref="S40:S41" si="25">SUM(R40)</f>
        <v>271.14999999999998</v>
      </c>
      <c r="U40" s="799"/>
      <c r="V40" s="230" t="s">
        <v>1514</v>
      </c>
      <c r="W40" s="198">
        <f>SUM(X11:X14)</f>
        <v>0</v>
      </c>
      <c r="X40" s="234">
        <f t="shared" ref="X40:X41" si="26">SUM(W40)</f>
        <v>0</v>
      </c>
      <c r="Z40" s="799"/>
      <c r="AA40" s="230" t="s">
        <v>1508</v>
      </c>
      <c r="AB40" s="198">
        <f>SUM(AC11:AC14)</f>
        <v>268.14999999999998</v>
      </c>
      <c r="AC40" s="234">
        <f t="shared" ref="AC40:AC41" si="27">SUM(AB40)</f>
        <v>268.14999999999998</v>
      </c>
      <c r="AE40" s="799"/>
      <c r="AF40" s="230" t="s">
        <v>1515</v>
      </c>
      <c r="AG40" s="198">
        <f>SUM(AH11:AH14)</f>
        <v>7.5</v>
      </c>
      <c r="AH40" s="234">
        <f t="shared" ref="AH40:AH41" si="28">SUM(AG40)</f>
        <v>7.5</v>
      </c>
      <c r="AJ40" s="799"/>
      <c r="AK40" s="230" t="s">
        <v>1509</v>
      </c>
      <c r="AL40" s="198">
        <f>SUM(AM11:AM14)</f>
        <v>702.62999999999977</v>
      </c>
      <c r="AM40" s="234">
        <f t="shared" ref="AM40:AM41" si="29">SUM(AL40)</f>
        <v>702.62999999999977</v>
      </c>
      <c r="AO40" s="799"/>
      <c r="AP40" s="230" t="s">
        <v>1510</v>
      </c>
      <c r="AQ40" s="198">
        <f>SUM(AR11:AR14)</f>
        <v>121.41</v>
      </c>
      <c r="AR40" s="234">
        <f t="shared" ref="AR40:AR41" si="30">SUM(AQ40)</f>
        <v>121.41</v>
      </c>
      <c r="AT40" s="799"/>
      <c r="AU40" s="230" t="s">
        <v>1507</v>
      </c>
      <c r="AV40" s="198">
        <f>SUM(AW11:AW14)</f>
        <v>940.94</v>
      </c>
      <c r="AW40" s="234">
        <f t="shared" ref="AW40:AW41" si="31">SUM(AV40)</f>
        <v>940.94</v>
      </c>
      <c r="AY40" s="216"/>
      <c r="AZ40" s="799"/>
      <c r="BA40" s="61"/>
      <c r="BB40" s="198">
        <f>SUM(BC11:BC14)</f>
        <v>0</v>
      </c>
      <c r="BC40" s="234">
        <f t="shared" ref="BC40:BC41" si="32">SUM(BB40)</f>
        <v>0</v>
      </c>
      <c r="BD40" s="4"/>
      <c r="BE40" s="216"/>
      <c r="BF40" s="216"/>
      <c r="BG40" s="216"/>
      <c r="BH40" s="10"/>
      <c r="BI40" s="244"/>
      <c r="BJ40" s="4"/>
      <c r="BK40" s="216"/>
    </row>
    <row r="41" spans="1:63">
      <c r="A41" s="96" t="s">
        <v>1373</v>
      </c>
      <c r="B41" s="48"/>
      <c r="C41" s="48">
        <f>SUM(D15:D27)</f>
        <v>0</v>
      </c>
      <c r="D41" s="234">
        <f t="shared" si="22"/>
        <v>0</v>
      </c>
      <c r="E41" s="219"/>
      <c r="F41" s="96" t="s">
        <v>1373</v>
      </c>
      <c r="G41" s="48"/>
      <c r="H41" s="48">
        <f>SUM(I15:I27)</f>
        <v>9.57</v>
      </c>
      <c r="I41" s="234">
        <f t="shared" si="23"/>
        <v>9.57</v>
      </c>
      <c r="K41" s="96" t="s">
        <v>1373</v>
      </c>
      <c r="L41" s="48"/>
      <c r="M41" s="48">
        <f>SUM(N15:N27)</f>
        <v>88.2</v>
      </c>
      <c r="N41" s="234">
        <f t="shared" si="24"/>
        <v>88.2</v>
      </c>
      <c r="P41" s="96" t="s">
        <v>1373</v>
      </c>
      <c r="Q41" s="48"/>
      <c r="R41" s="48">
        <f>SUM(S15:S27)</f>
        <v>462.59999999999991</v>
      </c>
      <c r="S41" s="234">
        <f t="shared" si="25"/>
        <v>462.59999999999991</v>
      </c>
      <c r="U41" s="96" t="s">
        <v>1373</v>
      </c>
      <c r="V41" s="48"/>
      <c r="W41" s="48">
        <f>SUM(X15:X27)</f>
        <v>403.2</v>
      </c>
      <c r="X41" s="234">
        <f t="shared" si="26"/>
        <v>403.2</v>
      </c>
      <c r="Z41" s="96" t="s">
        <v>1373</v>
      </c>
      <c r="AA41" s="48"/>
      <c r="AB41" s="48">
        <f>SUM(AC15:AC27)</f>
        <v>437.73</v>
      </c>
      <c r="AC41" s="234">
        <f t="shared" si="27"/>
        <v>437.73</v>
      </c>
      <c r="AE41" s="96" t="s">
        <v>1373</v>
      </c>
      <c r="AF41" s="48"/>
      <c r="AG41" s="48">
        <f>SUM(AH15:AH27)</f>
        <v>339.37</v>
      </c>
      <c r="AH41" s="234">
        <f t="shared" si="28"/>
        <v>339.37</v>
      </c>
      <c r="AJ41" s="96" t="s">
        <v>1373</v>
      </c>
      <c r="AK41" s="48"/>
      <c r="AL41" s="48">
        <f>SUM(AM15:AM27)</f>
        <v>2005.5599999999995</v>
      </c>
      <c r="AM41" s="234">
        <f t="shared" si="29"/>
        <v>2005.5599999999995</v>
      </c>
      <c r="AO41" s="96" t="s">
        <v>1373</v>
      </c>
      <c r="AP41" s="48"/>
      <c r="AQ41" s="48">
        <f>SUM(AR15:AR27)</f>
        <v>551.46</v>
      </c>
      <c r="AR41" s="234">
        <f t="shared" si="30"/>
        <v>551.46</v>
      </c>
      <c r="AT41" s="96" t="s">
        <v>1373</v>
      </c>
      <c r="AU41" s="48"/>
      <c r="AV41" s="48">
        <f>SUM(AW15:AW27)</f>
        <v>0</v>
      </c>
      <c r="AW41" s="234">
        <f t="shared" si="31"/>
        <v>0</v>
      </c>
      <c r="AY41" s="216"/>
      <c r="AZ41" s="96" t="s">
        <v>1373</v>
      </c>
      <c r="BA41" s="48"/>
      <c r="BB41" s="48">
        <f>SUM(BC15:BC27)</f>
        <v>0</v>
      </c>
      <c r="BC41" s="234">
        <f t="shared" si="32"/>
        <v>0</v>
      </c>
      <c r="BE41" s="216"/>
      <c r="BF41" s="216"/>
      <c r="BG41" s="216"/>
      <c r="BH41" s="240"/>
      <c r="BK41" s="216"/>
    </row>
    <row r="43" spans="1:63">
      <c r="C43">
        <f>SUM(C32,C33,C35,C41,C40)</f>
        <v>7.3</v>
      </c>
      <c r="D43">
        <f>SUM(D32,D33,D35,D41,D40)</f>
        <v>7.3</v>
      </c>
      <c r="H43">
        <f>SUM(H32,H33,H35,H41,H40)</f>
        <v>370.45000000000005</v>
      </c>
      <c r="I43">
        <f>SUM(I32,I33,I35,I41,I40)</f>
        <v>370.45000000000005</v>
      </c>
      <c r="M43">
        <f>SUM(M32,M33,M35,M41,M40)</f>
        <v>292.89999999999998</v>
      </c>
      <c r="N43">
        <f>SUM(N32,N33,N35,N41,N40)</f>
        <v>292.89999999999998</v>
      </c>
      <c r="R43">
        <f>SUM(R32,R33,R35,R41,R40)</f>
        <v>844.43</v>
      </c>
      <c r="S43">
        <f>SUM(S32,S33,S35,S41,S40)</f>
        <v>844.43</v>
      </c>
      <c r="W43">
        <f>SUM(W32,W33,W35,W41,W40)</f>
        <v>464.40999999999997</v>
      </c>
      <c r="X43">
        <f>SUM(X32,X33,X35,X41,X40)</f>
        <v>464.40999999999997</v>
      </c>
      <c r="AB43">
        <f>SUM(AB32,AB33,AB35,AB41,AB40)</f>
        <v>754.68000000000006</v>
      </c>
      <c r="AC43">
        <f>SUM(AC32,AC33,AC35,AC41,AC40)</f>
        <v>754.68000000000006</v>
      </c>
      <c r="AG43">
        <f>SUM(AG32,AG33,AG35,AG41,AG40)</f>
        <v>395.97</v>
      </c>
      <c r="AH43">
        <f>SUM(AH32,AH33,AH35,AH41,AH40)</f>
        <v>395.97</v>
      </c>
      <c r="AL43">
        <f>SUM(AL32,AL33,AL35,AL41,AL40)</f>
        <v>3092.0899999999992</v>
      </c>
      <c r="AM43">
        <f>SUM(AM32,AM33,AM35,AM41,AM40)</f>
        <v>3092.0899999999992</v>
      </c>
      <c r="AQ43">
        <f>SUM(AQ32,AQ33,AQ35,AQ41,AQ40)</f>
        <v>712.48</v>
      </c>
      <c r="AR43">
        <f>SUM(AR32,AR33,AR35,AR41,AR40)</f>
        <v>712.48</v>
      </c>
      <c r="AV43">
        <f>SUM(AV32,AV33,AV35,AV41,AV40)</f>
        <v>940.94</v>
      </c>
      <c r="AW43">
        <f>SUM(AW32,AW33,AW35,AW41,AW40)</f>
        <v>940.94</v>
      </c>
      <c r="BB43">
        <f>SUM(BB32,BB33,BB35,BB41,BB40)</f>
        <v>0</v>
      </c>
      <c r="BC43">
        <f>SUM(BC32,BC33,BC35,BC41,BC40)</f>
        <v>0</v>
      </c>
    </row>
    <row r="45" spans="1:63" s="207" customFormat="1"/>
    <row r="47" spans="1:63">
      <c r="A47" s="795" t="s">
        <v>1516</v>
      </c>
      <c r="B47" s="795"/>
      <c r="C47" s="795"/>
      <c r="D47" s="795"/>
      <c r="E47" s="795"/>
      <c r="F47" s="795"/>
      <c r="G47" s="795"/>
      <c r="H47" s="795"/>
    </row>
    <row r="49" spans="1:14">
      <c r="B49" s="80"/>
      <c r="D49" s="795" t="s">
        <v>1390</v>
      </c>
      <c r="E49" s="795"/>
      <c r="F49" s="795"/>
      <c r="G49" s="80"/>
      <c r="H49" s="80"/>
    </row>
    <row r="50" spans="1:14">
      <c r="B50" s="80"/>
      <c r="D50" s="787" t="s">
        <v>1391</v>
      </c>
      <c r="E50" s="787"/>
      <c r="F50" s="787"/>
      <c r="G50" s="80"/>
      <c r="H50" s="80"/>
    </row>
    <row r="51" spans="1:14" ht="38.25">
      <c r="B51" s="202" t="s">
        <v>70</v>
      </c>
      <c r="D51" s="202" t="s">
        <v>1392</v>
      </c>
      <c r="E51" s="202" t="s">
        <v>1393</v>
      </c>
      <c r="F51" s="202" t="s">
        <v>1394</v>
      </c>
      <c r="G51" s="202" t="s">
        <v>1395</v>
      </c>
      <c r="H51" s="202" t="s">
        <v>1396</v>
      </c>
      <c r="J51" s="247"/>
    </row>
    <row r="52" spans="1:14">
      <c r="A52" s="246" t="s">
        <v>1495</v>
      </c>
      <c r="B52" s="171"/>
      <c r="C52" s="64" t="s">
        <v>249</v>
      </c>
      <c r="D52" s="16">
        <f>(E52+F52*0.5)</f>
        <v>1</v>
      </c>
      <c r="E52" s="16">
        <f>SUMIF('UFCA - CR'!$F$4:$F$5,C52,'UFCA - CR'!$K$4:$K$5)</f>
        <v>1</v>
      </c>
      <c r="F52" s="176">
        <v>0</v>
      </c>
      <c r="G52" s="13">
        <v>1</v>
      </c>
      <c r="H52" s="13">
        <v>0</v>
      </c>
      <c r="J52" t="s">
        <v>1496</v>
      </c>
    </row>
    <row r="53" spans="1:14">
      <c r="C53" s="203" t="s">
        <v>563</v>
      </c>
      <c r="D53" s="204">
        <f>SUM(D52:D52)</f>
        <v>1</v>
      </c>
      <c r="E53" s="204">
        <f t="shared" ref="E53:G53" si="33">SUM(E52:E52)</f>
        <v>1</v>
      </c>
      <c r="F53" s="204">
        <f t="shared" si="33"/>
        <v>0</v>
      </c>
      <c r="G53" s="204">
        <f t="shared" si="33"/>
        <v>1</v>
      </c>
      <c r="H53" s="204">
        <f>SUM(H52:H52)</f>
        <v>0</v>
      </c>
    </row>
    <row r="54" spans="1:14">
      <c r="G54" s="213"/>
    </row>
    <row r="55" spans="1:14">
      <c r="B55" s="80"/>
      <c r="D55" s="795" t="s">
        <v>1390</v>
      </c>
      <c r="E55" s="795"/>
      <c r="F55" s="795"/>
      <c r="G55" s="248"/>
      <c r="H55" s="80"/>
    </row>
    <row r="56" spans="1:14">
      <c r="B56" s="80"/>
      <c r="D56" s="787" t="s">
        <v>1391</v>
      </c>
      <c r="E56" s="787"/>
      <c r="F56" s="787"/>
      <c r="G56" s="248"/>
      <c r="H56" s="80"/>
    </row>
    <row r="57" spans="1:14" ht="38.25">
      <c r="B57" s="202" t="s">
        <v>70</v>
      </c>
      <c r="D57" s="202" t="s">
        <v>1392</v>
      </c>
      <c r="E57" s="202" t="s">
        <v>1393</v>
      </c>
      <c r="F57" s="202" t="s">
        <v>1394</v>
      </c>
      <c r="G57" s="249" t="s">
        <v>1395</v>
      </c>
      <c r="H57" s="202" t="s">
        <v>1396</v>
      </c>
      <c r="J57" s="247" t="s">
        <v>1491</v>
      </c>
      <c r="N57" s="2"/>
    </row>
    <row r="58" spans="1:14">
      <c r="A58" s="246" t="s">
        <v>1490</v>
      </c>
      <c r="B58" s="171" t="s">
        <v>365</v>
      </c>
      <c r="C58" s="64" t="s">
        <v>249</v>
      </c>
      <c r="D58" s="16">
        <f>(E58+F58*0.5)</f>
        <v>27.5</v>
      </c>
      <c r="E58" s="16">
        <f>SUMIF('UFCA - CR'!$F$4:$F$18,C58,'UFCA - CR'!$K$4:$K$18)+3</f>
        <v>27</v>
      </c>
      <c r="F58" s="176">
        <v>1</v>
      </c>
      <c r="G58" s="13">
        <f>2+2+1</f>
        <v>5</v>
      </c>
      <c r="H58" s="13">
        <v>0</v>
      </c>
      <c r="J58" t="s">
        <v>1401</v>
      </c>
    </row>
    <row r="59" spans="1:14">
      <c r="C59" s="203" t="s">
        <v>563</v>
      </c>
      <c r="D59" s="204">
        <f>SUM(D58:D58)</f>
        <v>27.5</v>
      </c>
      <c r="E59" s="204">
        <f t="shared" ref="E59:G59" si="34">SUM(E58:E58)</f>
        <v>27</v>
      </c>
      <c r="F59" s="204">
        <f t="shared" si="34"/>
        <v>1</v>
      </c>
      <c r="G59" s="204">
        <f t="shared" si="34"/>
        <v>5</v>
      </c>
      <c r="H59" s="204">
        <f>SUM(H58:H58)</f>
        <v>0</v>
      </c>
      <c r="J59" t="s">
        <v>1445</v>
      </c>
      <c r="N59" s="2"/>
    </row>
    <row r="60" spans="1:14">
      <c r="G60" s="213"/>
    </row>
    <row r="61" spans="1:14">
      <c r="B61" s="80"/>
      <c r="D61" s="795" t="s">
        <v>1390</v>
      </c>
      <c r="E61" s="795"/>
      <c r="F61" s="795"/>
      <c r="G61" s="248"/>
      <c r="H61" s="80"/>
    </row>
    <row r="62" spans="1:14">
      <c r="B62" s="80"/>
      <c r="D62" s="787" t="s">
        <v>1391</v>
      </c>
      <c r="E62" s="787"/>
      <c r="F62" s="787"/>
      <c r="G62" s="248"/>
      <c r="H62" s="80"/>
    </row>
    <row r="63" spans="1:14" ht="38.25">
      <c r="B63" s="202" t="s">
        <v>70</v>
      </c>
      <c r="D63" s="202" t="s">
        <v>1392</v>
      </c>
      <c r="E63" s="202" t="s">
        <v>1393</v>
      </c>
      <c r="F63" s="202" t="s">
        <v>1394</v>
      </c>
      <c r="G63" s="249" t="s">
        <v>1395</v>
      </c>
      <c r="H63" s="202" t="s">
        <v>1396</v>
      </c>
    </row>
    <row r="64" spans="1:14">
      <c r="A64" s="246" t="s">
        <v>918</v>
      </c>
      <c r="B64" s="171" t="s">
        <v>251</v>
      </c>
      <c r="C64" s="64" t="s">
        <v>249</v>
      </c>
      <c r="D64" s="16">
        <f>(E64+F64*0.5)</f>
        <v>0.5</v>
      </c>
      <c r="E64" s="16">
        <f>SUMIF('UFCA - CR'!$F$19:$F$28,C64,'UFCA - CR'!$K$19:$K$28)</f>
        <v>0</v>
      </c>
      <c r="F64" s="176">
        <v>1</v>
      </c>
      <c r="G64" s="13">
        <f>2+1</f>
        <v>3</v>
      </c>
      <c r="H64" s="13">
        <v>0</v>
      </c>
      <c r="J64" t="s">
        <v>1401</v>
      </c>
    </row>
    <row r="65" spans="1:10">
      <c r="C65" s="203" t="s">
        <v>563</v>
      </c>
      <c r="D65" s="204">
        <f>SUM(D64:D64)</f>
        <v>0.5</v>
      </c>
      <c r="E65" s="204">
        <f t="shared" ref="E65:G65" si="35">SUM(E64:E64)</f>
        <v>0</v>
      </c>
      <c r="F65" s="204">
        <f t="shared" si="35"/>
        <v>1</v>
      </c>
      <c r="G65" s="204">
        <f t="shared" si="35"/>
        <v>3</v>
      </c>
      <c r="H65" s="204">
        <f>SUM(H64:H64)</f>
        <v>0</v>
      </c>
      <c r="J65" t="s">
        <v>1445</v>
      </c>
    </row>
    <row r="66" spans="1:10">
      <c r="G66" s="213"/>
    </row>
    <row r="67" spans="1:10">
      <c r="B67" s="80"/>
      <c r="D67" s="795" t="s">
        <v>1390</v>
      </c>
      <c r="E67" s="795"/>
      <c r="F67" s="795"/>
      <c r="G67" s="248"/>
      <c r="H67" s="80"/>
    </row>
    <row r="68" spans="1:10">
      <c r="B68" s="80"/>
      <c r="D68" s="787" t="s">
        <v>1391</v>
      </c>
      <c r="E68" s="787"/>
      <c r="F68" s="787"/>
      <c r="G68" s="248"/>
      <c r="H68" s="80"/>
    </row>
    <row r="69" spans="1:10" ht="38.25">
      <c r="B69" s="202" t="s">
        <v>70</v>
      </c>
      <c r="D69" s="202" t="s">
        <v>1392</v>
      </c>
      <c r="E69" s="202" t="s">
        <v>1393</v>
      </c>
      <c r="F69" s="202" t="s">
        <v>1394</v>
      </c>
      <c r="G69" s="249" t="s">
        <v>1395</v>
      </c>
      <c r="H69" s="202" t="s">
        <v>1396</v>
      </c>
    </row>
    <row r="70" spans="1:10">
      <c r="A70" s="246" t="s">
        <v>1478</v>
      </c>
      <c r="B70" s="171" t="s">
        <v>372</v>
      </c>
      <c r="C70" s="64" t="s">
        <v>249</v>
      </c>
      <c r="D70" s="16">
        <f>(E70+F70*0.5)</f>
        <v>0</v>
      </c>
      <c r="E70" s="16">
        <f>SUMIF('UFCA - CR'!$F$29:$F$51,C70,'UFCA - CR'!$K$29:$K$51)</f>
        <v>0</v>
      </c>
      <c r="F70" s="176">
        <v>0</v>
      </c>
      <c r="G70" s="13">
        <f>2+1</f>
        <v>3</v>
      </c>
      <c r="H70" s="13">
        <v>0</v>
      </c>
      <c r="J70" t="s">
        <v>1445</v>
      </c>
    </row>
    <row r="71" spans="1:10">
      <c r="C71" s="203" t="s">
        <v>563</v>
      </c>
      <c r="D71" s="204">
        <f>SUM(D70:D70)</f>
        <v>0</v>
      </c>
      <c r="E71" s="204">
        <f t="shared" ref="E71:G71" si="36">SUM(E70:E70)</f>
        <v>0</v>
      </c>
      <c r="F71" s="204">
        <f t="shared" si="36"/>
        <v>0</v>
      </c>
      <c r="G71" s="204">
        <f t="shared" si="36"/>
        <v>3</v>
      </c>
      <c r="H71" s="204">
        <f>SUM(H70:H70)</f>
        <v>0</v>
      </c>
    </row>
    <row r="72" spans="1:10">
      <c r="G72" s="213"/>
    </row>
    <row r="73" spans="1:10">
      <c r="B73" s="80"/>
      <c r="D73" s="795" t="s">
        <v>1390</v>
      </c>
      <c r="E73" s="795"/>
      <c r="F73" s="795"/>
      <c r="G73" s="248"/>
      <c r="H73" s="80"/>
    </row>
    <row r="74" spans="1:10">
      <c r="B74" s="80"/>
      <c r="D74" s="787" t="s">
        <v>1391</v>
      </c>
      <c r="E74" s="787"/>
      <c r="F74" s="787"/>
      <c r="G74" s="248"/>
      <c r="H74" s="80"/>
    </row>
    <row r="75" spans="1:10" ht="38.25">
      <c r="B75" s="202" t="s">
        <v>70</v>
      </c>
      <c r="D75" s="202" t="s">
        <v>1392</v>
      </c>
      <c r="E75" s="202" t="s">
        <v>1393</v>
      </c>
      <c r="F75" s="202" t="s">
        <v>1394</v>
      </c>
      <c r="G75" s="249" t="s">
        <v>1395</v>
      </c>
      <c r="H75" s="202" t="s">
        <v>1396</v>
      </c>
    </row>
    <row r="76" spans="1:10">
      <c r="A76" s="246" t="s">
        <v>201</v>
      </c>
      <c r="B76" s="171" t="s">
        <v>255</v>
      </c>
      <c r="C76" s="64" t="s">
        <v>249</v>
      </c>
      <c r="D76" s="16">
        <f ca="1">(E76+F76*0.5)</f>
        <v>0</v>
      </c>
      <c r="E76" s="16">
        <f ca="1">SUMIF('UFCA - CR'!$F$52:$F$58,C76,'UFCA - CR'!$K$53:$K$58)</f>
        <v>0</v>
      </c>
      <c r="F76" s="176">
        <v>0</v>
      </c>
      <c r="G76" s="13">
        <f>2+1</f>
        <v>3</v>
      </c>
      <c r="H76" s="13">
        <v>0</v>
      </c>
      <c r="J76" t="s">
        <v>1445</v>
      </c>
    </row>
    <row r="77" spans="1:10">
      <c r="C77" s="203" t="s">
        <v>563</v>
      </c>
      <c r="D77" s="204">
        <f ca="1">SUM(D76:D76)</f>
        <v>0</v>
      </c>
      <c r="E77" s="204">
        <f t="shared" ref="E77:G77" ca="1" si="37">SUM(E76:E76)</f>
        <v>0</v>
      </c>
      <c r="F77" s="204">
        <f t="shared" si="37"/>
        <v>0</v>
      </c>
      <c r="G77" s="204">
        <f t="shared" si="37"/>
        <v>3</v>
      </c>
      <c r="H77" s="204">
        <f>SUM(H76:H76)</f>
        <v>0</v>
      </c>
    </row>
    <row r="78" spans="1:10">
      <c r="G78" s="213"/>
    </row>
    <row r="79" spans="1:10">
      <c r="B79" s="80"/>
      <c r="D79" s="795" t="s">
        <v>1390</v>
      </c>
      <c r="E79" s="795"/>
      <c r="F79" s="795"/>
      <c r="G79" s="248"/>
      <c r="H79" s="80"/>
    </row>
    <row r="80" spans="1:10">
      <c r="B80" s="80"/>
      <c r="D80" s="787" t="s">
        <v>1391</v>
      </c>
      <c r="E80" s="787"/>
      <c r="F80" s="787"/>
      <c r="G80" s="248"/>
      <c r="H80" s="80"/>
    </row>
    <row r="81" spans="1:10" ht="38.25">
      <c r="B81" s="202" t="s">
        <v>70</v>
      </c>
      <c r="D81" s="202" t="s">
        <v>1392</v>
      </c>
      <c r="E81" s="202" t="s">
        <v>1393</v>
      </c>
      <c r="F81" s="202" t="s">
        <v>1394</v>
      </c>
      <c r="G81" s="249" t="s">
        <v>1395</v>
      </c>
      <c r="H81" s="202" t="s">
        <v>1396</v>
      </c>
    </row>
    <row r="82" spans="1:10">
      <c r="A82" s="246" t="s">
        <v>1477</v>
      </c>
      <c r="B82" s="171" t="s">
        <v>375</v>
      </c>
      <c r="C82" s="64" t="s">
        <v>249</v>
      </c>
      <c r="D82" s="16">
        <f>(E82+F82*0.5)</f>
        <v>0</v>
      </c>
      <c r="E82" s="16">
        <f>SUMIF('UFCA - CR'!$F$59:$F$71,C82,'UFCA - CR'!$K$59:$K$71)</f>
        <v>0</v>
      </c>
      <c r="F82" s="176">
        <v>0</v>
      </c>
      <c r="G82" s="13">
        <f>2+1</f>
        <v>3</v>
      </c>
      <c r="H82" s="13">
        <v>0</v>
      </c>
      <c r="J82" t="s">
        <v>1445</v>
      </c>
    </row>
    <row r="83" spans="1:10">
      <c r="C83" s="203" t="s">
        <v>563</v>
      </c>
      <c r="D83" s="204">
        <f>SUM(D82:D82)</f>
        <v>0</v>
      </c>
      <c r="E83" s="204">
        <f t="shared" ref="E83:G83" si="38">SUM(E82:E82)</f>
        <v>0</v>
      </c>
      <c r="F83" s="204">
        <f t="shared" si="38"/>
        <v>0</v>
      </c>
      <c r="G83" s="204">
        <f t="shared" si="38"/>
        <v>3</v>
      </c>
      <c r="H83" s="204">
        <f>SUM(H82:H82)</f>
        <v>0</v>
      </c>
    </row>
    <row r="85" spans="1:10">
      <c r="B85" s="80"/>
      <c r="D85" s="795" t="s">
        <v>1390</v>
      </c>
      <c r="E85" s="795"/>
      <c r="F85" s="795"/>
      <c r="G85" s="80"/>
      <c r="H85" s="80"/>
    </row>
    <row r="86" spans="1:10">
      <c r="B86" s="80"/>
      <c r="D86" s="787" t="s">
        <v>1391</v>
      </c>
      <c r="E86" s="787"/>
      <c r="F86" s="787"/>
      <c r="G86" s="80"/>
      <c r="H86" s="80"/>
    </row>
    <row r="87" spans="1:10" ht="38.25">
      <c r="B87" s="202" t="s">
        <v>70</v>
      </c>
      <c r="D87" s="202" t="s">
        <v>1392</v>
      </c>
      <c r="E87" s="202" t="s">
        <v>1393</v>
      </c>
      <c r="F87" s="202" t="s">
        <v>1394</v>
      </c>
      <c r="G87" s="202" t="s">
        <v>1395</v>
      </c>
      <c r="H87" s="202" t="s">
        <v>1396</v>
      </c>
    </row>
    <row r="88" spans="1:10">
      <c r="A88" s="246" t="s">
        <v>210</v>
      </c>
      <c r="B88" s="171" t="s">
        <v>260</v>
      </c>
      <c r="C88" s="64" t="s">
        <v>249</v>
      </c>
      <c r="D88" s="16">
        <f>(E88+F88*0.5)</f>
        <v>3</v>
      </c>
      <c r="E88" s="16">
        <f>SUMIF('UFCA - CR'!$F$72:$F$79,C88,'UFCA - CR'!$K$72:$K$79)</f>
        <v>3</v>
      </c>
      <c r="F88" s="176">
        <v>0</v>
      </c>
      <c r="G88" s="13">
        <f>1+1</f>
        <v>2</v>
      </c>
      <c r="H88" s="13">
        <v>0</v>
      </c>
      <c r="J88" t="s">
        <v>1496</v>
      </c>
    </row>
    <row r="89" spans="1:10">
      <c r="C89" s="203" t="s">
        <v>563</v>
      </c>
      <c r="D89" s="204">
        <f>SUM(D88:D88)</f>
        <v>3</v>
      </c>
      <c r="E89" s="204">
        <f t="shared" ref="E89:G89" si="39">SUM(E88:E88)</f>
        <v>3</v>
      </c>
      <c r="F89" s="204">
        <f t="shared" si="39"/>
        <v>0</v>
      </c>
      <c r="G89" s="204">
        <f t="shared" si="39"/>
        <v>2</v>
      </c>
      <c r="H89" s="204">
        <f>SUM(H88:H88)</f>
        <v>0</v>
      </c>
    </row>
    <row r="91" spans="1:10">
      <c r="B91" s="80"/>
      <c r="D91" s="795" t="s">
        <v>1390</v>
      </c>
      <c r="E91" s="795"/>
      <c r="F91" s="795"/>
      <c r="G91" s="80"/>
      <c r="H91" s="80"/>
    </row>
    <row r="92" spans="1:10">
      <c r="B92" s="80"/>
      <c r="D92" s="787" t="s">
        <v>1391</v>
      </c>
      <c r="E92" s="787"/>
      <c r="F92" s="787"/>
      <c r="G92" s="80"/>
      <c r="H92" s="80"/>
    </row>
    <row r="93" spans="1:10" ht="38.25">
      <c r="B93" s="202" t="s">
        <v>70</v>
      </c>
      <c r="D93" s="202" t="s">
        <v>1392</v>
      </c>
      <c r="E93" s="202" t="s">
        <v>1393</v>
      </c>
      <c r="F93" s="202" t="s">
        <v>1394</v>
      </c>
      <c r="G93" s="202" t="s">
        <v>1395</v>
      </c>
      <c r="H93" s="202" t="s">
        <v>1396</v>
      </c>
    </row>
    <row r="94" spans="1:10">
      <c r="A94" s="246" t="s">
        <v>1481</v>
      </c>
      <c r="B94" s="171" t="s">
        <v>376</v>
      </c>
      <c r="C94" s="64" t="s">
        <v>249</v>
      </c>
      <c r="D94" s="16">
        <f>(E94+F94*0.5)</f>
        <v>16</v>
      </c>
      <c r="E94" s="16">
        <f>SUMIF('UFCA - CR'!$F$80:$F$183,C94,'UFCA - CR'!$K$80:$K$183)</f>
        <v>15</v>
      </c>
      <c r="F94" s="176">
        <v>2</v>
      </c>
      <c r="G94" s="13">
        <f>4+1</f>
        <v>5</v>
      </c>
      <c r="H94" s="13">
        <v>0</v>
      </c>
      <c r="J94" t="s">
        <v>1492</v>
      </c>
    </row>
    <row r="95" spans="1:10">
      <c r="C95" s="203" t="s">
        <v>563</v>
      </c>
      <c r="D95" s="204">
        <f>SUM(D94:D94)</f>
        <v>16</v>
      </c>
      <c r="E95" s="204">
        <f t="shared" ref="E95:G95" si="40">SUM(E94:E94)</f>
        <v>15</v>
      </c>
      <c r="F95" s="204">
        <f t="shared" si="40"/>
        <v>2</v>
      </c>
      <c r="G95" s="204">
        <f t="shared" si="40"/>
        <v>5</v>
      </c>
      <c r="H95" s="204">
        <f>SUM(H94:H94)</f>
        <v>0</v>
      </c>
      <c r="J95" t="s">
        <v>1493</v>
      </c>
    </row>
    <row r="97" spans="1:8">
      <c r="B97" s="80"/>
      <c r="D97" s="795" t="s">
        <v>1390</v>
      </c>
      <c r="E97" s="795"/>
      <c r="F97" s="795"/>
      <c r="G97" s="80"/>
      <c r="H97" s="80"/>
    </row>
    <row r="98" spans="1:8">
      <c r="B98" s="80"/>
      <c r="D98" s="787" t="s">
        <v>1391</v>
      </c>
      <c r="E98" s="787"/>
      <c r="F98" s="787"/>
      <c r="G98" s="80"/>
      <c r="H98" s="80"/>
    </row>
    <row r="99" spans="1:8" ht="38.25">
      <c r="B99" s="202" t="s">
        <v>70</v>
      </c>
      <c r="D99" s="202" t="s">
        <v>1392</v>
      </c>
      <c r="E99" s="202" t="s">
        <v>1393</v>
      </c>
      <c r="F99" s="202" t="s">
        <v>1394</v>
      </c>
      <c r="G99" s="202" t="s">
        <v>1395</v>
      </c>
      <c r="H99" s="202" t="s">
        <v>1396</v>
      </c>
    </row>
    <row r="100" spans="1:8">
      <c r="A100" s="246" t="s">
        <v>1380</v>
      </c>
      <c r="B100" s="171"/>
      <c r="C100" s="64" t="s">
        <v>249</v>
      </c>
      <c r="D100" s="16">
        <f>(E100+F100*0.5)</f>
        <v>0</v>
      </c>
      <c r="E100" s="16">
        <v>0</v>
      </c>
      <c r="F100" s="176">
        <v>0</v>
      </c>
      <c r="G100" s="13">
        <v>1</v>
      </c>
      <c r="H100" s="13">
        <v>0</v>
      </c>
    </row>
    <row r="101" spans="1:8">
      <c r="C101" s="203" t="s">
        <v>563</v>
      </c>
      <c r="D101" s="204">
        <f>SUM(D100:D100)</f>
        <v>0</v>
      </c>
      <c r="E101" s="204">
        <f t="shared" ref="E101:G101" si="41">SUM(E100:E100)</f>
        <v>0</v>
      </c>
      <c r="F101" s="204">
        <f t="shared" si="41"/>
        <v>0</v>
      </c>
      <c r="G101" s="204">
        <f t="shared" si="41"/>
        <v>1</v>
      </c>
      <c r="H101" s="204">
        <f>SUM(H100:H100)</f>
        <v>0</v>
      </c>
    </row>
    <row r="102" spans="1:8">
      <c r="C102" s="80"/>
      <c r="D102" s="237"/>
      <c r="E102" s="237"/>
      <c r="F102" s="237"/>
      <c r="G102" s="237"/>
      <c r="H102" s="237"/>
    </row>
    <row r="103" spans="1:8">
      <c r="B103" s="80"/>
      <c r="D103" s="795" t="s">
        <v>1390</v>
      </c>
      <c r="E103" s="795"/>
      <c r="F103" s="795"/>
      <c r="G103" s="80"/>
      <c r="H103" s="80"/>
    </row>
    <row r="104" spans="1:8">
      <c r="B104" s="80"/>
      <c r="D104" s="787" t="s">
        <v>1391</v>
      </c>
      <c r="E104" s="787"/>
      <c r="F104" s="787"/>
      <c r="G104" s="80"/>
      <c r="H104" s="80"/>
    </row>
    <row r="105" spans="1:8" ht="38.25">
      <c r="B105" s="202" t="s">
        <v>70</v>
      </c>
      <c r="D105" s="202" t="s">
        <v>1392</v>
      </c>
      <c r="E105" s="202" t="s">
        <v>1393</v>
      </c>
      <c r="F105" s="202" t="s">
        <v>1394</v>
      </c>
      <c r="G105" s="202" t="s">
        <v>1395</v>
      </c>
      <c r="H105" s="202" t="s">
        <v>1396</v>
      </c>
    </row>
    <row r="106" spans="1:8" ht="30">
      <c r="A106" s="255" t="s">
        <v>1506</v>
      </c>
      <c r="B106" s="171"/>
      <c r="C106" s="64" t="s">
        <v>249</v>
      </c>
      <c r="D106" s="16">
        <f>(E106+F106*0.5)</f>
        <v>0</v>
      </c>
      <c r="E106" s="16">
        <v>0</v>
      </c>
      <c r="F106" s="176">
        <v>0</v>
      </c>
      <c r="G106" s="13">
        <v>0</v>
      </c>
      <c r="H106" s="13">
        <v>0</v>
      </c>
    </row>
    <row r="107" spans="1:8">
      <c r="C107" s="203" t="s">
        <v>563</v>
      </c>
      <c r="D107" s="204">
        <f>SUM(D106:D106)</f>
        <v>0</v>
      </c>
      <c r="E107" s="204">
        <f t="shared" ref="E107:G107" si="42">SUM(E106:E106)</f>
        <v>0</v>
      </c>
      <c r="F107" s="204">
        <f t="shared" si="42"/>
        <v>0</v>
      </c>
      <c r="G107" s="204">
        <f t="shared" si="42"/>
        <v>0</v>
      </c>
      <c r="H107" s="204">
        <f>SUM(H106:H106)</f>
        <v>0</v>
      </c>
    </row>
  </sheetData>
  <mergeCells count="142">
    <mergeCell ref="D103:F103"/>
    <mergeCell ref="D104:F104"/>
    <mergeCell ref="D85:F85"/>
    <mergeCell ref="D86:F86"/>
    <mergeCell ref="D91:F91"/>
    <mergeCell ref="D92:F92"/>
    <mergeCell ref="D97:F97"/>
    <mergeCell ref="D98:F98"/>
    <mergeCell ref="D67:F67"/>
    <mergeCell ref="D68:F68"/>
    <mergeCell ref="D73:F73"/>
    <mergeCell ref="D74:F74"/>
    <mergeCell ref="D79:F79"/>
    <mergeCell ref="D80:F80"/>
    <mergeCell ref="D49:F49"/>
    <mergeCell ref="D50:F50"/>
    <mergeCell ref="D55:F55"/>
    <mergeCell ref="D56:F56"/>
    <mergeCell ref="D61:F61"/>
    <mergeCell ref="D62:F62"/>
    <mergeCell ref="AE37:AE40"/>
    <mergeCell ref="AJ37:AJ40"/>
    <mergeCell ref="AO37:AO40"/>
    <mergeCell ref="AT37:AT40"/>
    <mergeCell ref="AZ37:AZ40"/>
    <mergeCell ref="A47:H47"/>
    <mergeCell ref="A37:A40"/>
    <mergeCell ref="F37:F40"/>
    <mergeCell ref="K37:K40"/>
    <mergeCell ref="P37:P40"/>
    <mergeCell ref="U37:U40"/>
    <mergeCell ref="Z37:Z40"/>
    <mergeCell ref="Z35:Z36"/>
    <mergeCell ref="AE35:AE36"/>
    <mergeCell ref="AJ35:AJ36"/>
    <mergeCell ref="AO35:AO36"/>
    <mergeCell ref="AT35:AT36"/>
    <mergeCell ref="AZ35:AZ36"/>
    <mergeCell ref="AE33:AE34"/>
    <mergeCell ref="AJ33:AJ34"/>
    <mergeCell ref="AO33:AO34"/>
    <mergeCell ref="AT33:AT34"/>
    <mergeCell ref="AZ33:AZ34"/>
    <mergeCell ref="A35:A36"/>
    <mergeCell ref="F35:F36"/>
    <mergeCell ref="K35:K36"/>
    <mergeCell ref="P35:P36"/>
    <mergeCell ref="U35:U36"/>
    <mergeCell ref="AT15:AT27"/>
    <mergeCell ref="AU15:AU27"/>
    <mergeCell ref="AZ15:AZ27"/>
    <mergeCell ref="BA15:BA27"/>
    <mergeCell ref="A33:A34"/>
    <mergeCell ref="F33:F34"/>
    <mergeCell ref="K33:K34"/>
    <mergeCell ref="P33:P34"/>
    <mergeCell ref="U33:U34"/>
    <mergeCell ref="Z33:Z34"/>
    <mergeCell ref="AE15:AE27"/>
    <mergeCell ref="AF15:AF27"/>
    <mergeCell ref="AJ15:AJ27"/>
    <mergeCell ref="AK15:AK27"/>
    <mergeCell ref="AO15:AO27"/>
    <mergeCell ref="AP15:AP27"/>
    <mergeCell ref="P15:P27"/>
    <mergeCell ref="Q15:Q27"/>
    <mergeCell ref="U15:U27"/>
    <mergeCell ref="V15:V27"/>
    <mergeCell ref="Z15:Z27"/>
    <mergeCell ref="AA15:AA27"/>
    <mergeCell ref="AT11:AT14"/>
    <mergeCell ref="AU11:AU14"/>
    <mergeCell ref="AZ11:AZ14"/>
    <mergeCell ref="BA11:BA14"/>
    <mergeCell ref="A15:A27"/>
    <mergeCell ref="B15:B27"/>
    <mergeCell ref="F15:F27"/>
    <mergeCell ref="G15:G27"/>
    <mergeCell ref="K15:K27"/>
    <mergeCell ref="L15:L27"/>
    <mergeCell ref="AE11:AE14"/>
    <mergeCell ref="AF11:AF14"/>
    <mergeCell ref="AJ11:AJ14"/>
    <mergeCell ref="AK11:AK14"/>
    <mergeCell ref="AO11:AO14"/>
    <mergeCell ref="AP11:AP14"/>
    <mergeCell ref="P11:P14"/>
    <mergeCell ref="Q11:Q14"/>
    <mergeCell ref="U11:U14"/>
    <mergeCell ref="V11:V14"/>
    <mergeCell ref="Z11:Z14"/>
    <mergeCell ref="AA11:AA14"/>
    <mergeCell ref="AT6:AT10"/>
    <mergeCell ref="AU6:AU10"/>
    <mergeCell ref="AZ6:AZ10"/>
    <mergeCell ref="BA6:BA10"/>
    <mergeCell ref="A11:A14"/>
    <mergeCell ref="B11:B14"/>
    <mergeCell ref="F11:F14"/>
    <mergeCell ref="G11:G14"/>
    <mergeCell ref="K11:K14"/>
    <mergeCell ref="L11:L14"/>
    <mergeCell ref="AE6:AE10"/>
    <mergeCell ref="AF6:AF10"/>
    <mergeCell ref="AJ6:AJ10"/>
    <mergeCell ref="AK6:AK10"/>
    <mergeCell ref="AO6:AO10"/>
    <mergeCell ref="AP6:AP10"/>
    <mergeCell ref="P6:P10"/>
    <mergeCell ref="Q6:Q10"/>
    <mergeCell ref="U6:U10"/>
    <mergeCell ref="V6:V10"/>
    <mergeCell ref="Z6:Z10"/>
    <mergeCell ref="AA6:AA10"/>
    <mergeCell ref="A6:A10"/>
    <mergeCell ref="B6:B10"/>
    <mergeCell ref="F6:F10"/>
    <mergeCell ref="G6:G10"/>
    <mergeCell ref="K6:K10"/>
    <mergeCell ref="L6:L10"/>
    <mergeCell ref="Z4:Z5"/>
    <mergeCell ref="AE4:AE5"/>
    <mergeCell ref="AJ4:AJ5"/>
    <mergeCell ref="AO4:AO5"/>
    <mergeCell ref="AT4:AT5"/>
    <mergeCell ref="AZ4:AZ5"/>
    <mergeCell ref="AE1:AH1"/>
    <mergeCell ref="AJ1:AM1"/>
    <mergeCell ref="AO1:AR1"/>
    <mergeCell ref="AT1:AW1"/>
    <mergeCell ref="AZ1:BC1"/>
    <mergeCell ref="A4:A5"/>
    <mergeCell ref="F4:F5"/>
    <mergeCell ref="K4:K5"/>
    <mergeCell ref="P4:P5"/>
    <mergeCell ref="U4:U5"/>
    <mergeCell ref="A1:D1"/>
    <mergeCell ref="F1:I1"/>
    <mergeCell ref="K1:N1"/>
    <mergeCell ref="P1:S1"/>
    <mergeCell ref="U1:X1"/>
    <mergeCell ref="Z1:AC1"/>
  </mergeCells>
  <pageMargins left="0.511811024" right="0.511811024" top="0.78740157499999996" bottom="0.78740157499999996" header="0.31496062000000002" footer="0.31496062000000002"/>
  <pageSetup paperSize="9" scale="15" fitToHeight="0" orientation="landscape" r:id="rId1"/>
  <rowBreaks count="2" manualBreakCount="2">
    <brk id="72" max="55" man="1"/>
    <brk id="96" max="5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04E15C-EE83-4C9E-AF3D-C0E920E36988}">
  <sheetPr>
    <tabColor theme="5" tint="0.59999389629810485"/>
    <pageSetUpPr fitToPage="1"/>
  </sheetPr>
  <dimension ref="A1:BG95"/>
  <sheetViews>
    <sheetView topLeftCell="A21" zoomScaleNormal="100" zoomScaleSheetLayoutView="106" workbookViewId="0">
      <pane xSplit="1" topLeftCell="AI1" activePane="topRight" state="frozen"/>
      <selection activeCell="I90" sqref="I90"/>
      <selection pane="topRight" activeCell="I90" sqref="I90"/>
    </sheetView>
  </sheetViews>
  <sheetFormatPr defaultRowHeight="15"/>
  <cols>
    <col min="1" max="1" width="15" customWidth="1"/>
    <col min="2" max="2" width="24.42578125" bestFit="1" customWidth="1"/>
    <col min="3" max="3" width="19.28515625" customWidth="1"/>
    <col min="4" max="4" width="12.85546875" customWidth="1"/>
    <col min="5" max="5" width="10.28515625" customWidth="1"/>
    <col min="6" max="6" width="14.5703125" customWidth="1"/>
    <col min="7" max="8" width="24.42578125" bestFit="1" customWidth="1"/>
    <col min="9" max="9" width="11.85546875" bestFit="1" customWidth="1"/>
    <col min="10" max="10" width="5" customWidth="1"/>
    <col min="11" max="11" width="14" customWidth="1"/>
    <col min="12" max="12" width="24.85546875" bestFit="1" customWidth="1"/>
    <col min="13" max="13" width="17.7109375" bestFit="1" customWidth="1"/>
    <col min="14" max="14" width="15.5703125" customWidth="1"/>
    <col min="15" max="15" width="6.140625" customWidth="1"/>
    <col min="16" max="16" width="17.7109375" bestFit="1" customWidth="1"/>
    <col min="17" max="17" width="24.85546875" bestFit="1" customWidth="1"/>
    <col min="18" max="18" width="17.7109375" bestFit="1" customWidth="1"/>
    <col min="19" max="19" width="14" customWidth="1"/>
    <col min="20" max="20" width="5.28515625" customWidth="1"/>
    <col min="21" max="21" width="17.7109375" bestFit="1" customWidth="1"/>
    <col min="22" max="22" width="24.85546875" bestFit="1" customWidth="1"/>
    <col min="23" max="23" width="17.7109375" bestFit="1" customWidth="1"/>
    <col min="24" max="24" width="15.28515625" customWidth="1"/>
    <col min="25" max="25" width="5.28515625" customWidth="1"/>
    <col min="26" max="26" width="17.7109375" bestFit="1" customWidth="1"/>
    <col min="27" max="27" width="24.85546875" bestFit="1" customWidth="1"/>
    <col min="28" max="28" width="17.7109375" bestFit="1" customWidth="1"/>
    <col min="29" max="29" width="24.42578125" bestFit="1" customWidth="1"/>
    <col min="30" max="30" width="6.140625" customWidth="1"/>
    <col min="31" max="31" width="17.7109375" bestFit="1" customWidth="1"/>
    <col min="32" max="32" width="24.85546875" bestFit="1" customWidth="1"/>
    <col min="33" max="33" width="17.7109375" bestFit="1" customWidth="1"/>
    <col min="34" max="34" width="14.28515625" customWidth="1"/>
    <col min="35" max="35" width="6.28515625" customWidth="1"/>
    <col min="36" max="36" width="17.7109375" bestFit="1" customWidth="1"/>
    <col min="37" max="37" width="24.85546875" bestFit="1" customWidth="1"/>
    <col min="38" max="38" width="17.7109375" bestFit="1" customWidth="1"/>
    <col min="39" max="39" width="15.42578125" customWidth="1"/>
    <col min="40" max="40" width="5" customWidth="1"/>
    <col min="41" max="41" width="17" customWidth="1"/>
    <col min="42" max="42" width="24.85546875" bestFit="1" customWidth="1"/>
    <col min="43" max="43" width="17.7109375" bestFit="1" customWidth="1"/>
    <col min="44" max="44" width="16.28515625" customWidth="1"/>
    <col min="45" max="45" width="6.7109375" customWidth="1"/>
    <col min="46" max="46" width="17.7109375" bestFit="1" customWidth="1"/>
    <col min="47" max="47" width="4.28515625" customWidth="1"/>
    <col min="48" max="48" width="16.5703125" customWidth="1"/>
    <col min="49" max="49" width="24.85546875" bestFit="1" customWidth="1"/>
    <col min="50" max="50" width="17.7109375" bestFit="1" customWidth="1"/>
    <col min="51" max="51" width="11.42578125" customWidth="1"/>
    <col min="52" max="52" width="11" customWidth="1"/>
    <col min="53" max="53" width="14.85546875" bestFit="1" customWidth="1"/>
    <col min="54" max="54" width="4.140625" customWidth="1"/>
    <col min="55" max="55" width="14.85546875" customWidth="1"/>
    <col min="56" max="56" width="10.140625" customWidth="1"/>
    <col min="57" max="57" width="24.42578125" bestFit="1" customWidth="1"/>
    <col min="58" max="58" width="11.7109375" bestFit="1" customWidth="1"/>
    <col min="59" max="59" width="16.5703125" bestFit="1" customWidth="1"/>
  </cols>
  <sheetData>
    <row r="1" spans="1:58">
      <c r="A1" s="809" t="s">
        <v>1532</v>
      </c>
      <c r="B1" s="809"/>
      <c r="C1" s="809"/>
      <c r="D1" s="809"/>
      <c r="E1" s="219"/>
      <c r="F1" s="809" t="s">
        <v>1473</v>
      </c>
      <c r="G1" s="809"/>
      <c r="H1" s="809"/>
      <c r="I1" s="809"/>
      <c r="K1" s="809" t="s">
        <v>1475</v>
      </c>
      <c r="L1" s="809"/>
      <c r="M1" s="809"/>
      <c r="N1" s="809"/>
      <c r="P1" s="162" t="s">
        <v>1474</v>
      </c>
      <c r="Q1" s="261"/>
      <c r="R1" s="261"/>
      <c r="S1" s="261"/>
      <c r="U1" s="806" t="s">
        <v>1476</v>
      </c>
      <c r="V1" s="807"/>
      <c r="W1" s="807"/>
      <c r="X1" s="807"/>
      <c r="Z1" s="806" t="s">
        <v>1479</v>
      </c>
      <c r="AA1" s="807"/>
      <c r="AB1" s="807"/>
      <c r="AC1" s="808"/>
      <c r="AE1" s="806" t="s">
        <v>1480</v>
      </c>
      <c r="AF1" s="807"/>
      <c r="AG1" s="807"/>
      <c r="AH1" s="808"/>
      <c r="AJ1" s="806" t="s">
        <v>595</v>
      </c>
      <c r="AK1" s="807"/>
      <c r="AL1" s="807"/>
      <c r="AM1" s="808"/>
      <c r="AO1" s="806" t="s">
        <v>1380</v>
      </c>
      <c r="AP1" s="807"/>
      <c r="AQ1" s="807"/>
      <c r="AR1" s="808"/>
      <c r="AZ1" s="219"/>
      <c r="BC1" s="219"/>
      <c r="BD1" s="219"/>
      <c r="BE1" s="219"/>
      <c r="BF1" s="219"/>
    </row>
    <row r="2" spans="1:58" s="10" customFormat="1" ht="30">
      <c r="A2" s="232" t="s">
        <v>1469</v>
      </c>
      <c r="B2" s="18">
        <v>9844.82</v>
      </c>
      <c r="C2" s="232" t="s">
        <v>1461</v>
      </c>
      <c r="D2" s="21">
        <v>640.39</v>
      </c>
      <c r="E2" s="3"/>
      <c r="F2" s="232" t="s">
        <v>1469</v>
      </c>
      <c r="G2" s="18">
        <v>3377.44</v>
      </c>
      <c r="H2" s="232" t="s">
        <v>1461</v>
      </c>
      <c r="I2" s="21">
        <v>396.15</v>
      </c>
      <c r="K2" s="232" t="s">
        <v>1469</v>
      </c>
      <c r="L2" s="18">
        <v>4661.21</v>
      </c>
      <c r="M2" s="232" t="s">
        <v>1461</v>
      </c>
      <c r="N2" s="21">
        <v>1291.8</v>
      </c>
      <c r="P2" s="232" t="s">
        <v>1469</v>
      </c>
      <c r="Q2" s="18">
        <v>1252.95</v>
      </c>
      <c r="R2" s="232" t="s">
        <v>1461</v>
      </c>
      <c r="S2" s="21">
        <v>469.27</v>
      </c>
      <c r="U2" s="232" t="s">
        <v>1469</v>
      </c>
      <c r="V2" s="18">
        <v>5997.32</v>
      </c>
      <c r="W2" s="232" t="s">
        <v>1461</v>
      </c>
      <c r="X2" s="21">
        <v>1291.8</v>
      </c>
      <c r="Z2" s="232" t="s">
        <v>1469</v>
      </c>
      <c r="AA2" s="18">
        <v>2364.83</v>
      </c>
      <c r="AB2" s="232" t="s">
        <v>1461</v>
      </c>
      <c r="AC2" s="21">
        <v>714</v>
      </c>
      <c r="AE2" s="232" t="s">
        <v>1469</v>
      </c>
      <c r="AF2" s="18">
        <f>SUM(3959.69+125258.8)</f>
        <v>129218.49</v>
      </c>
      <c r="AG2" s="232" t="s">
        <v>1461</v>
      </c>
      <c r="AH2" s="21">
        <v>3844.44</v>
      </c>
      <c r="AJ2" s="232" t="s">
        <v>1469</v>
      </c>
      <c r="AK2" s="18">
        <v>3397.6</v>
      </c>
      <c r="AL2" s="232" t="s">
        <v>1461</v>
      </c>
      <c r="AM2" s="21">
        <v>994.08</v>
      </c>
      <c r="AO2" s="232" t="s">
        <v>1469</v>
      </c>
      <c r="AP2" s="18">
        <v>926.34</v>
      </c>
      <c r="AQ2" s="232" t="s">
        <v>1461</v>
      </c>
      <c r="AR2" s="262">
        <f>1264.82</f>
        <v>1264.82</v>
      </c>
      <c r="AT2" s="10">
        <f>SUM(AF2,B2,G2,L2,Q2,V2,AA2,AK2,AP2)</f>
        <v>161041</v>
      </c>
      <c r="BC2" s="239"/>
      <c r="BD2" s="3"/>
      <c r="BE2" s="239"/>
      <c r="BF2" s="3"/>
    </row>
    <row r="3" spans="1:58">
      <c r="D3" s="233" t="s">
        <v>1488</v>
      </c>
      <c r="E3" s="3"/>
      <c r="I3" s="233" t="s">
        <v>1487</v>
      </c>
      <c r="N3" s="233" t="s">
        <v>1486</v>
      </c>
      <c r="S3" s="233" t="s">
        <v>1485</v>
      </c>
      <c r="X3" s="233" t="s">
        <v>1484</v>
      </c>
      <c r="AC3" s="233" t="s">
        <v>1483</v>
      </c>
      <c r="AH3" s="233" t="s">
        <v>1482</v>
      </c>
      <c r="AM3" s="233" t="s">
        <v>595</v>
      </c>
      <c r="AR3" s="233" t="s">
        <v>1380</v>
      </c>
      <c r="AZ3" s="3"/>
      <c r="BF3" s="3"/>
    </row>
    <row r="4" spans="1:58" ht="15" customHeight="1">
      <c r="A4" s="27" t="s">
        <v>1367</v>
      </c>
      <c r="B4" s="64" t="s">
        <v>1361</v>
      </c>
      <c r="C4" s="64" t="s">
        <v>249</v>
      </c>
      <c r="D4" s="48">
        <f>SUMIF('UFCA - CR'!$F$4:$F$18,C4,'UFCA - CR'!$I$4:$I$18)</f>
        <v>100.1</v>
      </c>
      <c r="F4" s="27" t="s">
        <v>1367</v>
      </c>
      <c r="G4" s="64" t="s">
        <v>1361</v>
      </c>
      <c r="H4" s="64" t="s">
        <v>249</v>
      </c>
      <c r="I4" s="48">
        <f>SUMIF('UFCA - CR'!$F$19:$F$28,H4,'UFCA - CR'!$I$19:$I$28)</f>
        <v>0</v>
      </c>
      <c r="K4" s="27" t="s">
        <v>1367</v>
      </c>
      <c r="L4" s="64" t="s">
        <v>1361</v>
      </c>
      <c r="M4" s="64" t="s">
        <v>249</v>
      </c>
      <c r="N4" s="48">
        <f>SUMIF('UFCA - CR'!$F$29:$F$51,M4,'UFCA - CR'!$I$29:$I$51)</f>
        <v>0</v>
      </c>
      <c r="P4" s="27" t="s">
        <v>1367</v>
      </c>
      <c r="Q4" s="64" t="s">
        <v>1361</v>
      </c>
      <c r="R4" s="64" t="s">
        <v>249</v>
      </c>
      <c r="S4" s="48">
        <f>SUMIF('UFCA - CR'!$F$52:$F$58,R4,'UFCA - CR'!$I$52:$I$58)</f>
        <v>0</v>
      </c>
      <c r="U4" s="27" t="s">
        <v>1367</v>
      </c>
      <c r="V4" s="64" t="s">
        <v>1361</v>
      </c>
      <c r="W4" s="64" t="s">
        <v>249</v>
      </c>
      <c r="X4" s="48">
        <f>SUMIF('UFCA - CR'!$F$59:$F$71,W4,'UFCA - CR'!$I$59:$I$71)</f>
        <v>0</v>
      </c>
      <c r="Z4" s="27" t="s">
        <v>1367</v>
      </c>
      <c r="AA4" s="64" t="s">
        <v>1361</v>
      </c>
      <c r="AB4" s="64" t="s">
        <v>249</v>
      </c>
      <c r="AC4" s="48">
        <f>SUMIF('UFCA - CR'!$F$72:$F$79,AB4,'UFCA - CR'!$I$72:$I$79)</f>
        <v>18.5</v>
      </c>
      <c r="AE4" s="27" t="s">
        <v>1367</v>
      </c>
      <c r="AF4" s="64" t="s">
        <v>1361</v>
      </c>
      <c r="AG4" s="64" t="s">
        <v>249</v>
      </c>
      <c r="AH4" s="48">
        <f>SUMIF('UFCA - CR'!$F$80:$F$183,AG4,'UFCA - CR'!$I$80:$I$183)</f>
        <v>192.64</v>
      </c>
      <c r="AJ4" s="27" t="s">
        <v>1367</v>
      </c>
      <c r="AK4" s="64" t="s">
        <v>1361</v>
      </c>
      <c r="AL4" s="64" t="s">
        <v>249</v>
      </c>
      <c r="AM4" s="48">
        <f>SUMIF('UFCA - CR'!$F$184:$F$192,AL4,'UFCA - CR'!$I$184:$I$192)</f>
        <v>0</v>
      </c>
      <c r="AO4" s="27" t="s">
        <v>1367</v>
      </c>
      <c r="AP4" s="64" t="s">
        <v>1361</v>
      </c>
      <c r="AQ4" s="64" t="s">
        <v>249</v>
      </c>
      <c r="AR4" s="48">
        <f>SUMIF('UFCA - CR'!$F$193:$F$194,AQ4,'UFCA - CR'!$I$193:$I$194)</f>
        <v>0</v>
      </c>
      <c r="BC4" s="242"/>
      <c r="BD4" s="229"/>
      <c r="BE4" s="229"/>
    </row>
    <row r="5" spans="1:58">
      <c r="A5" s="27"/>
      <c r="B5" s="96" t="s">
        <v>1363</v>
      </c>
      <c r="C5" s="48" t="s">
        <v>1364</v>
      </c>
      <c r="D5" s="48">
        <f>SUMIF('UFCA - CR'!$F$4:$F$18,C5,'UFCA - CR'!$I$4:$I$18)</f>
        <v>0</v>
      </c>
      <c r="F5" s="27"/>
      <c r="G5" s="96" t="s">
        <v>1363</v>
      </c>
      <c r="H5" s="48" t="s">
        <v>1364</v>
      </c>
      <c r="I5" s="48">
        <f>SUMIF('UFCA - CR'!$F$19:$F$28,H5,'UFCA - CR'!$I$19:$I$28)</f>
        <v>0</v>
      </c>
      <c r="K5" s="27"/>
      <c r="L5" s="96" t="s">
        <v>1363</v>
      </c>
      <c r="M5" s="48" t="s">
        <v>1364</v>
      </c>
      <c r="N5" s="48">
        <f>SUMIF('UFCA - CR'!$F$29:$F$51,M5,'UFCA - CR'!$I$29:$I$51)</f>
        <v>0</v>
      </c>
      <c r="P5" s="27"/>
      <c r="Q5" s="96" t="s">
        <v>1363</v>
      </c>
      <c r="R5" s="48" t="s">
        <v>1364</v>
      </c>
      <c r="S5" s="48">
        <f>SUMIF('UFCA - CR'!$F$52:$F$58,R5,'UFCA - CR'!$I$52:$I$58)</f>
        <v>0</v>
      </c>
      <c r="U5" s="27"/>
      <c r="V5" s="96" t="s">
        <v>1363</v>
      </c>
      <c r="W5" s="48" t="s">
        <v>1364</v>
      </c>
      <c r="X5" s="48">
        <f>SUMIF('UFCA - CR'!$F$59:$F$71,W5,'UFCA - CR'!$I$59:$I$71)</f>
        <v>0</v>
      </c>
      <c r="Z5" s="27"/>
      <c r="AA5" s="96" t="s">
        <v>1363</v>
      </c>
      <c r="AB5" s="48" t="s">
        <v>1364</v>
      </c>
      <c r="AC5" s="48">
        <f>SUMIF('UFCA - CR'!$F$72:$F$79,AB5,'UFCA - CR'!$I$72:$I$79)</f>
        <v>0</v>
      </c>
      <c r="AE5" s="27"/>
      <c r="AF5" s="96" t="s">
        <v>1363</v>
      </c>
      <c r="AG5" s="48" t="s">
        <v>1364</v>
      </c>
      <c r="AH5" s="48">
        <f>SUMIF('UFCA - CR'!$F$80:$F$183,AG5,'UFCA - CR'!$I$80:$I$183)</f>
        <v>0</v>
      </c>
      <c r="AJ5" s="27"/>
      <c r="AK5" s="96" t="s">
        <v>1363</v>
      </c>
      <c r="AL5" s="48" t="s">
        <v>1364</v>
      </c>
      <c r="AM5" s="48">
        <f>SUMIF('UFCA - CR'!$F$184:$F$192,AL5,'UFCA - CR'!$I$184:$I$192)</f>
        <v>0</v>
      </c>
      <c r="AO5" s="27"/>
      <c r="AP5" s="96" t="s">
        <v>1363</v>
      </c>
      <c r="AQ5" s="48" t="s">
        <v>1364</v>
      </c>
      <c r="AR5" s="48">
        <f>SUMIF('UFCA - CR'!$F$193:$F$194,AQ5,'UFCA - CR'!$I$193:$I$194)</f>
        <v>0</v>
      </c>
      <c r="BC5" s="242"/>
      <c r="BD5" s="240"/>
    </row>
    <row r="6" spans="1:58" ht="15" customHeight="1">
      <c r="A6" s="27" t="s">
        <v>1368</v>
      </c>
      <c r="B6" s="18" t="s">
        <v>1365</v>
      </c>
      <c r="C6" s="64" t="s">
        <v>27</v>
      </c>
      <c r="D6" s="48">
        <f>SUMIF('UFCA - CR'!$F$4:$F$18,C6,'UFCA - CR'!$I$4:$I$18)</f>
        <v>0</v>
      </c>
      <c r="F6" s="27" t="s">
        <v>1368</v>
      </c>
      <c r="G6" s="18" t="s">
        <v>1365</v>
      </c>
      <c r="H6" s="64" t="s">
        <v>27</v>
      </c>
      <c r="I6" s="48">
        <f>SUMIF('UFCA - CR'!$F$19:$F$28,H6,'UFCA - CR'!$I$19:$I$28)</f>
        <v>0</v>
      </c>
      <c r="K6" s="27" t="s">
        <v>1368</v>
      </c>
      <c r="L6" s="18" t="s">
        <v>1365</v>
      </c>
      <c r="M6" s="64" t="s">
        <v>27</v>
      </c>
      <c r="N6" s="48">
        <f>SUMIF('UFCA - CR'!$F$29:$F$51,M6,'UFCA - CR'!$I$29:$I$51)</f>
        <v>0</v>
      </c>
      <c r="P6" s="27" t="s">
        <v>1368</v>
      </c>
      <c r="Q6" s="18" t="s">
        <v>1365</v>
      </c>
      <c r="R6" s="64" t="s">
        <v>27</v>
      </c>
      <c r="S6" s="48">
        <f>SUMIF('UFCA - CR'!$F$52:$F$58,R6,'UFCA - CR'!$I$52:$I$58)</f>
        <v>0</v>
      </c>
      <c r="U6" s="27" t="s">
        <v>1368</v>
      </c>
      <c r="V6" s="18" t="s">
        <v>1365</v>
      </c>
      <c r="W6" s="64" t="s">
        <v>27</v>
      </c>
      <c r="X6" s="48">
        <f>SUMIF('UFCA - CR'!$F$59:$F$71,W6,'UFCA - CR'!$I$59:$I$71)</f>
        <v>0</v>
      </c>
      <c r="Z6" s="27" t="s">
        <v>1368</v>
      </c>
      <c r="AA6" s="18" t="s">
        <v>1365</v>
      </c>
      <c r="AB6" s="64" t="s">
        <v>27</v>
      </c>
      <c r="AC6" s="48">
        <f>SUMIF('UFCA - CR'!$F$72:$F$79,AB6,'UFCA - CR'!$I$72:$I$79)</f>
        <v>0</v>
      </c>
      <c r="AE6" s="27" t="s">
        <v>1368</v>
      </c>
      <c r="AF6" s="18" t="s">
        <v>1365</v>
      </c>
      <c r="AG6" s="64" t="s">
        <v>27</v>
      </c>
      <c r="AH6" s="48">
        <f>SUMIF('UFCA - CR'!$F$80:$F$183,AG6,'UFCA - CR'!$I$80:$I$183)</f>
        <v>16.8</v>
      </c>
      <c r="AJ6" s="27" t="s">
        <v>1368</v>
      </c>
      <c r="AK6" s="18" t="s">
        <v>1365</v>
      </c>
      <c r="AL6" s="64" t="s">
        <v>27</v>
      </c>
      <c r="AM6" s="48">
        <f>SUMIF('UFCA - CR'!$F$184:$F$192,AL6,'UFCA - CR'!$I$184:$I$192)</f>
        <v>0</v>
      </c>
      <c r="AO6" s="27" t="s">
        <v>1368</v>
      </c>
      <c r="AP6" s="18" t="s">
        <v>1365</v>
      </c>
      <c r="AQ6" s="64" t="s">
        <v>27</v>
      </c>
      <c r="AR6" s="48">
        <f>SUMIF('UFCA - CR'!$F$193:$F$194,AQ6,'UFCA - CR'!$I$193:$I$194)</f>
        <v>0</v>
      </c>
      <c r="BC6" s="242"/>
      <c r="BD6" s="10"/>
      <c r="BE6" s="229"/>
    </row>
    <row r="7" spans="1:58">
      <c r="A7" s="27"/>
      <c r="B7" s="18"/>
      <c r="C7" s="64" t="s">
        <v>355</v>
      </c>
      <c r="D7" s="48">
        <f>SUMIF('UFCA - CR'!$F$4:$F$18,C7,'UFCA - CR'!$I$4:$I$18)</f>
        <v>7.1</v>
      </c>
      <c r="F7" s="27"/>
      <c r="G7" s="18"/>
      <c r="H7" s="64" t="s">
        <v>355</v>
      </c>
      <c r="I7" s="48">
        <f>SUMIF('UFCA - CR'!$F$19:$F$28,H7,'UFCA - CR'!$I$19:$I$28)</f>
        <v>0</v>
      </c>
      <c r="K7" s="27"/>
      <c r="L7" s="18"/>
      <c r="M7" s="64" t="s">
        <v>355</v>
      </c>
      <c r="N7" s="48">
        <f>SUMIF('UFCA - CR'!$F$29:$F$51,M7,'UFCA - CR'!$I$29:$I$51)</f>
        <v>73.28</v>
      </c>
      <c r="P7" s="27"/>
      <c r="Q7" s="18"/>
      <c r="R7" s="64" t="s">
        <v>355</v>
      </c>
      <c r="S7" s="48">
        <f>SUMIF('UFCA - CR'!$F$52:$F$58,R7,'UFCA - CR'!$I$52:$I$58)</f>
        <v>59.06</v>
      </c>
      <c r="U7" s="27"/>
      <c r="V7" s="18"/>
      <c r="W7" s="64" t="s">
        <v>355</v>
      </c>
      <c r="X7" s="48">
        <f>SUMIF('UFCA - CR'!$F$59:$F$71,W7,'UFCA - CR'!$I$59:$I$71)</f>
        <v>11.4</v>
      </c>
      <c r="Z7" s="27"/>
      <c r="AA7" s="18"/>
      <c r="AB7" s="64" t="s">
        <v>355</v>
      </c>
      <c r="AC7" s="48">
        <f>SUMIF('UFCA - CR'!$F$72:$F$79,AB7,'UFCA - CR'!$I$72:$I$79)</f>
        <v>0</v>
      </c>
      <c r="AE7" s="27"/>
      <c r="AF7" s="18"/>
      <c r="AG7" s="64" t="s">
        <v>355</v>
      </c>
      <c r="AH7" s="48">
        <f>SUMIF('UFCA - CR'!$F$80:$F$183,AG7,'UFCA - CR'!$I$80:$I$183)</f>
        <v>40.96</v>
      </c>
      <c r="AJ7" s="27"/>
      <c r="AK7" s="18"/>
      <c r="AL7" s="64" t="s">
        <v>355</v>
      </c>
      <c r="AM7" s="48">
        <f>SUMIF('UFCA - CR'!$F$184:$F$192,AL7,'UFCA - CR'!$I$184:$I$192)</f>
        <v>2.5299999999999998</v>
      </c>
      <c r="AO7" s="27"/>
      <c r="AP7" s="18"/>
      <c r="AQ7" s="64" t="s">
        <v>355</v>
      </c>
      <c r="AR7" s="48">
        <f>SUMIF('UFCA - CR'!$F$193:$F$194,AQ7,'UFCA - CR'!$I$193:$I$194)</f>
        <v>0</v>
      </c>
      <c r="BC7" s="242"/>
      <c r="BD7" s="10"/>
      <c r="BE7" s="229"/>
    </row>
    <row r="8" spans="1:58">
      <c r="A8" s="27"/>
      <c r="B8" s="18"/>
      <c r="C8" s="64" t="s">
        <v>213</v>
      </c>
      <c r="D8" s="48">
        <f>SUMIF('UFCA - CR'!$F$4:$F$18,C8,'UFCA - CR'!$I$4:$I$18)</f>
        <v>0</v>
      </c>
      <c r="F8" s="27"/>
      <c r="G8" s="18"/>
      <c r="H8" s="64" t="s">
        <v>213</v>
      </c>
      <c r="I8" s="48">
        <f>SUMIF('UFCA - CR'!$F$19:$F$28,H8,'UFCA - CR'!$I$19:$I$28)</f>
        <v>0</v>
      </c>
      <c r="K8" s="27"/>
      <c r="L8" s="18"/>
      <c r="M8" s="64" t="s">
        <v>213</v>
      </c>
      <c r="N8" s="48">
        <f>SUMIF('UFCA - CR'!$F$29:$F$51,M8,'UFCA - CR'!$I$29:$I$51)</f>
        <v>0</v>
      </c>
      <c r="P8" s="27"/>
      <c r="Q8" s="18"/>
      <c r="R8" s="64" t="s">
        <v>213</v>
      </c>
      <c r="S8" s="48">
        <f>SUMIF('UFCA - CR'!$F$52:$F$58,R8,'UFCA - CR'!$I$52:$I$58)</f>
        <v>0</v>
      </c>
      <c r="U8" s="27"/>
      <c r="V8" s="18"/>
      <c r="W8" s="64" t="s">
        <v>213</v>
      </c>
      <c r="X8" s="48">
        <f>SUMIF('UFCA - CR'!$F$59:$F$71,W8,'UFCA - CR'!$I$59:$I$71)</f>
        <v>0</v>
      </c>
      <c r="Z8" s="27"/>
      <c r="AA8" s="18"/>
      <c r="AB8" s="64" t="s">
        <v>213</v>
      </c>
      <c r="AC8" s="48">
        <f>SUMIF('UFCA - CR'!$F$72:$F$79,AB8,'UFCA - CR'!$I$72:$I$79)</f>
        <v>0</v>
      </c>
      <c r="AE8" s="27"/>
      <c r="AF8" s="18"/>
      <c r="AG8" s="64" t="s">
        <v>213</v>
      </c>
      <c r="AH8" s="48">
        <f>SUMIF('UFCA - CR'!$F$80:$F$183,AG8,'UFCA - CR'!$I$80:$I$183)</f>
        <v>0</v>
      </c>
      <c r="AJ8" s="27"/>
      <c r="AK8" s="18"/>
      <c r="AL8" s="64" t="s">
        <v>213</v>
      </c>
      <c r="AM8" s="48">
        <f>SUMIF('UFCA - CR'!$F$184:$F$192,AL8,'UFCA - CR'!$I$184:$I$192)</f>
        <v>0</v>
      </c>
      <c r="AO8" s="27"/>
      <c r="AP8" s="18"/>
      <c r="AQ8" s="64" t="s">
        <v>213</v>
      </c>
      <c r="AR8" s="48">
        <f>SUMIF('UFCA - CR'!$F$193:$F$194,AQ8,'UFCA - CR'!$I$193:$I$194)</f>
        <v>0</v>
      </c>
      <c r="BC8" s="242"/>
      <c r="BD8" s="10"/>
      <c r="BE8" s="229"/>
    </row>
    <row r="9" spans="1:58">
      <c r="A9" s="27"/>
      <c r="B9" s="18"/>
      <c r="C9" s="64" t="s">
        <v>1462</v>
      </c>
      <c r="D9" s="48">
        <f>SUMIF('UFCA - CR'!$F$4:$F$18,C9,'UFCA - CR'!$I$4:$I$18)</f>
        <v>0</v>
      </c>
      <c r="F9" s="27"/>
      <c r="G9" s="18"/>
      <c r="H9" s="64" t="s">
        <v>1462</v>
      </c>
      <c r="I9" s="48">
        <f>SUMIF('UFCA - CR'!$F$19:$F$28,H9,'UFCA - CR'!$I$19:$I$28)</f>
        <v>0</v>
      </c>
      <c r="K9" s="27"/>
      <c r="L9" s="18"/>
      <c r="M9" s="64" t="s">
        <v>1462</v>
      </c>
      <c r="N9" s="48">
        <f>SUMIF('UFCA - CR'!$F$29:$F$51,M9,'UFCA - CR'!$I$29:$I$51)</f>
        <v>0</v>
      </c>
      <c r="P9" s="27"/>
      <c r="Q9" s="18"/>
      <c r="R9" s="64" t="s">
        <v>1462</v>
      </c>
      <c r="S9" s="48">
        <f>SUMIF('UFCA - CR'!$F$52:$F$58,R9,'UFCA - CR'!$I$52:$I$58)</f>
        <v>0</v>
      </c>
      <c r="U9" s="27"/>
      <c r="V9" s="18"/>
      <c r="W9" s="64" t="s">
        <v>1462</v>
      </c>
      <c r="X9" s="48">
        <f>SUMIF('UFCA - CR'!$F$59:$F$71,W9,'UFCA - CR'!$I$59:$I$71)</f>
        <v>0</v>
      </c>
      <c r="Z9" s="27"/>
      <c r="AA9" s="18"/>
      <c r="AB9" s="64" t="s">
        <v>1462</v>
      </c>
      <c r="AC9" s="48">
        <f>SUMIF('UFCA - CR'!$F$72:$F$79,AB9,'UFCA - CR'!$I$72:$I$79)</f>
        <v>0</v>
      </c>
      <c r="AE9" s="27"/>
      <c r="AF9" s="18"/>
      <c r="AG9" s="64" t="s">
        <v>1462</v>
      </c>
      <c r="AH9" s="48">
        <f>SUMIF('UFCA - CR'!$F$80:$F$183,AG9,'UFCA - CR'!$I$80:$I$183)</f>
        <v>0</v>
      </c>
      <c r="AJ9" s="27"/>
      <c r="AK9" s="18"/>
      <c r="AL9" s="64" t="s">
        <v>1462</v>
      </c>
      <c r="AM9" s="48">
        <f>SUMIF('UFCA - CR'!$F$184:$F$192,AL9,'UFCA - CR'!$I$184:$I$192)</f>
        <v>0</v>
      </c>
      <c r="AO9" s="27"/>
      <c r="AP9" s="18"/>
      <c r="AQ9" s="64" t="s">
        <v>1462</v>
      </c>
      <c r="AR9" s="48">
        <f>SUMIF('UFCA - CR'!$F$193:$F$194,AQ9,'UFCA - CR'!$I$193:$I$194)</f>
        <v>0</v>
      </c>
      <c r="BC9" s="242"/>
      <c r="BD9" s="10"/>
      <c r="BE9" s="229"/>
    </row>
    <row r="10" spans="1:58">
      <c r="A10" s="27"/>
      <c r="B10" s="18"/>
      <c r="C10" s="64" t="s">
        <v>192</v>
      </c>
      <c r="D10" s="48">
        <f>SUMIF('UFCA - CR'!$F$4:$F$18,C10,'UFCA - CR'!$I$4:$I$18)</f>
        <v>22.53</v>
      </c>
      <c r="F10" s="27"/>
      <c r="G10" s="18"/>
      <c r="H10" s="64" t="s">
        <v>192</v>
      </c>
      <c r="I10" s="48">
        <f>SUMIF('UFCA - CR'!$F$19:$F$28,H10,'UFCA - CR'!$I$19:$I$28)</f>
        <v>20.2</v>
      </c>
      <c r="K10" s="27"/>
      <c r="L10" s="18"/>
      <c r="M10" s="64" t="s">
        <v>192</v>
      </c>
      <c r="N10" s="48">
        <f>SUMIF('UFCA - CR'!$F$29:$F$51,M10,'UFCA - CR'!$I$29:$I$51)</f>
        <v>37.4</v>
      </c>
      <c r="P10" s="27"/>
      <c r="Q10" s="18"/>
      <c r="R10" s="64" t="s">
        <v>192</v>
      </c>
      <c r="S10" s="48">
        <f>SUMIF('UFCA - CR'!$F$52:$F$58,R10,'UFCA - CR'!$I$52:$I$58)</f>
        <v>2.15</v>
      </c>
      <c r="U10" s="27"/>
      <c r="V10" s="18"/>
      <c r="W10" s="64" t="s">
        <v>192</v>
      </c>
      <c r="X10" s="48">
        <f>SUMIF('UFCA - CR'!$F$59:$F$71,W10,'UFCA - CR'!$I$59:$I$71)</f>
        <v>37.4</v>
      </c>
      <c r="Z10" s="27"/>
      <c r="AA10" s="18"/>
      <c r="AB10" s="64" t="s">
        <v>192</v>
      </c>
      <c r="AC10" s="48">
        <f>SUMIF('UFCA - CR'!$F$72:$F$79,AB10,'UFCA - CR'!$I$72:$I$79)</f>
        <v>30.6</v>
      </c>
      <c r="AE10" s="27"/>
      <c r="AF10" s="18"/>
      <c r="AG10" s="64" t="s">
        <v>192</v>
      </c>
      <c r="AH10" s="48">
        <f>SUMIF('UFCA - CR'!$F$80:$F$183,AG10,'UFCA - CR'!$I$80:$I$183)</f>
        <v>133.5</v>
      </c>
      <c r="AJ10" s="27"/>
      <c r="AK10" s="18"/>
      <c r="AL10" s="64" t="s">
        <v>192</v>
      </c>
      <c r="AM10" s="48">
        <f>SUMIF('UFCA - CR'!$F$184:$F$192,AL10,'UFCA - CR'!$I$184:$I$192)</f>
        <v>37.08</v>
      </c>
      <c r="AO10" s="27"/>
      <c r="AP10" s="18"/>
      <c r="AQ10" s="64" t="s">
        <v>192</v>
      </c>
      <c r="AR10" s="48">
        <f>SUMIF('UFCA - CR'!$F$193:$F$194,AQ10,'UFCA - CR'!$I$193:$I$194)</f>
        <v>0</v>
      </c>
      <c r="BC10" s="242"/>
      <c r="BD10" s="10"/>
      <c r="BE10" s="229"/>
    </row>
    <row r="11" spans="1:58">
      <c r="A11" s="18" t="s">
        <v>1372</v>
      </c>
      <c r="B11" s="18" t="s">
        <v>1448</v>
      </c>
      <c r="C11" s="64" t="s">
        <v>194</v>
      </c>
      <c r="D11" s="48">
        <f>SUMIF('UFCA - CR'!$F$4:$F$18,C11,'UFCA - CR'!$I$4:$I$18)</f>
        <v>238.45000000000002</v>
      </c>
      <c r="F11" s="18" t="s">
        <v>1372</v>
      </c>
      <c r="G11" s="18" t="s">
        <v>1448</v>
      </c>
      <c r="H11" s="64" t="s">
        <v>194</v>
      </c>
      <c r="I11" s="48">
        <f>SUMIF('UFCA - CR'!$F$19:$F$28,H11,'UFCA - CR'!$I$19:$I$28)</f>
        <v>184.5</v>
      </c>
      <c r="K11" s="18" t="s">
        <v>1372</v>
      </c>
      <c r="L11" s="18" t="s">
        <v>1448</v>
      </c>
      <c r="M11" s="64" t="s">
        <v>194</v>
      </c>
      <c r="N11" s="48">
        <f>SUMIF('UFCA - CR'!$F$29:$F$51,M11,'UFCA - CR'!$I$29:$I$51)</f>
        <v>271.14999999999998</v>
      </c>
      <c r="P11" s="18" t="s">
        <v>1372</v>
      </c>
      <c r="Q11" s="18" t="s">
        <v>1448</v>
      </c>
      <c r="R11" s="64" t="s">
        <v>194</v>
      </c>
      <c r="S11" s="48">
        <f>SUMIF('UFCA - CR'!$F$52:$F$58,R11,'UFCA - CR'!I52:I58)</f>
        <v>0</v>
      </c>
      <c r="U11" s="18" t="s">
        <v>1372</v>
      </c>
      <c r="V11" s="18" t="s">
        <v>1448</v>
      </c>
      <c r="W11" s="64" t="s">
        <v>194</v>
      </c>
      <c r="X11" s="48">
        <f>SUMIF('UFCA - CR'!$F$59:$F$71,W11,'UFCA - CR'!$I$59:$I$71)</f>
        <v>268.14999999999998</v>
      </c>
      <c r="Z11" s="18" t="s">
        <v>1372</v>
      </c>
      <c r="AA11" s="18" t="s">
        <v>1448</v>
      </c>
      <c r="AB11" s="64" t="s">
        <v>194</v>
      </c>
      <c r="AC11" s="48">
        <f>SUMIF('UFCA - CR'!$F$72:$F$79,AB11,'UFCA - CR'!$I$72:$I$79)</f>
        <v>7.5</v>
      </c>
      <c r="AE11" s="18" t="s">
        <v>1372</v>
      </c>
      <c r="AF11" s="18" t="s">
        <v>1448</v>
      </c>
      <c r="AG11" s="64" t="s">
        <v>194</v>
      </c>
      <c r="AH11" s="48">
        <f>SUMIF('UFCA - CR'!$F$80:$F$183,AG11,'UFCA - CR'!$I$80:$I$183)-AH12</f>
        <v>646.19999999999982</v>
      </c>
      <c r="AJ11" s="18" t="s">
        <v>1372</v>
      </c>
      <c r="AK11" s="18" t="s">
        <v>1448</v>
      </c>
      <c r="AL11" s="64" t="s">
        <v>194</v>
      </c>
      <c r="AM11" s="48">
        <f>SUMIF('UFCA - CR'!$F$184:$F$192,AL11,'UFCA - CR'!$I$184:$I$192)</f>
        <v>121.41</v>
      </c>
      <c r="AO11" s="18" t="s">
        <v>1372</v>
      </c>
      <c r="AP11" s="18" t="s">
        <v>1448</v>
      </c>
      <c r="AQ11" s="64" t="s">
        <v>194</v>
      </c>
      <c r="AR11" s="48">
        <f>SUMIF('UFCA - CR'!$F$193:$F$194,AQ11,'UFCA - CR'!$I$193:$I$194)</f>
        <v>1264.82</v>
      </c>
      <c r="BC11" s="10"/>
      <c r="BD11" s="10"/>
      <c r="BE11" s="229"/>
    </row>
    <row r="12" spans="1:58">
      <c r="A12" s="18"/>
      <c r="B12" s="18"/>
      <c r="C12" s="64" t="s">
        <v>1497</v>
      </c>
      <c r="D12" s="48">
        <f>SUMIF('UFCA - CR'!$F$4:$F$18,C12,'UFCA - CR'!$I$4:$I$18)</f>
        <v>0</v>
      </c>
      <c r="F12" s="18"/>
      <c r="G12" s="18"/>
      <c r="H12" s="64" t="s">
        <v>1497</v>
      </c>
      <c r="I12" s="48">
        <f>SUMIF('UFCA - CR'!$F$19:$F$28,H12,'UFCA - CR'!$I$19:$I$28)</f>
        <v>0</v>
      </c>
      <c r="K12" s="18"/>
      <c r="L12" s="18"/>
      <c r="M12" s="64" t="s">
        <v>1497</v>
      </c>
      <c r="N12" s="48">
        <f>SUMIF('UFCA - CR'!$F$29:$F$51,M12,'UFCA - CR'!$I$29:$I$51)</f>
        <v>0</v>
      </c>
      <c r="P12" s="18"/>
      <c r="Q12" s="18"/>
      <c r="R12" s="64" t="s">
        <v>1497</v>
      </c>
      <c r="S12" s="48">
        <f>SUMIF('UFCA - CR'!$F$52:$F$58,R12,'UFCA - CR'!I53:I59)</f>
        <v>0</v>
      </c>
      <c r="U12" s="18"/>
      <c r="V12" s="18"/>
      <c r="W12" s="64" t="s">
        <v>1497</v>
      </c>
      <c r="X12" s="48">
        <f>SUMIF('UFCA - CR'!$F$59:$F$71,W12,'UFCA - CR'!$I$59:$I$71)</f>
        <v>0</v>
      </c>
      <c r="Z12" s="18"/>
      <c r="AA12" s="18"/>
      <c r="AB12" s="64" t="s">
        <v>1497</v>
      </c>
      <c r="AC12" s="48">
        <f>SUMIF('UFCA - CR'!$F$72:$F$79,AB12,'UFCA - CR'!$I$72:$I$79)</f>
        <v>0</v>
      </c>
      <c r="AE12" s="18"/>
      <c r="AF12" s="18"/>
      <c r="AG12" s="64" t="s">
        <v>1497</v>
      </c>
      <c r="AH12" s="48">
        <v>56.43</v>
      </c>
      <c r="AJ12" s="18"/>
      <c r="AK12" s="18"/>
      <c r="AL12" s="64" t="s">
        <v>1497</v>
      </c>
      <c r="AM12" s="48">
        <f>SUMIF('UFCA - CR'!$F$184:$F$192,AL12,'UFCA - CR'!$I$184:$I$192)</f>
        <v>0</v>
      </c>
      <c r="AO12" s="18"/>
      <c r="AP12" s="18"/>
      <c r="AQ12" s="64" t="s">
        <v>1497</v>
      </c>
      <c r="AR12" s="48">
        <f>SUMIF('UFCA - CR'!$F$193:$F$194,AQ12,'UFCA - CR'!$I$193:$I$194)</f>
        <v>0</v>
      </c>
      <c r="BC12" s="10"/>
      <c r="BD12" s="10"/>
      <c r="BE12" s="229"/>
    </row>
    <row r="13" spans="1:58">
      <c r="A13" s="18"/>
      <c r="B13" s="18"/>
      <c r="C13" s="64" t="s">
        <v>524</v>
      </c>
      <c r="D13" s="48">
        <f>SUMIF('UFCA - CR'!$F$4:$F$18,C13,'UFCA - CR'!$I$4:$I$18)</f>
        <v>0</v>
      </c>
      <c r="F13" s="18"/>
      <c r="G13" s="18"/>
      <c r="H13" s="64" t="s">
        <v>524</v>
      </c>
      <c r="I13" s="48">
        <f>SUMIF('UFCA - CR'!$F$19:$F$28,H13,'UFCA - CR'!$I$19:$I$28)</f>
        <v>0</v>
      </c>
      <c r="K13" s="18"/>
      <c r="L13" s="18"/>
      <c r="M13" s="64" t="s">
        <v>524</v>
      </c>
      <c r="N13" s="48">
        <f>SUMIF('UFCA - CR'!$F$29:$F$51,M13,'UFCA - CR'!$I$29:$I$51)</f>
        <v>0</v>
      </c>
      <c r="P13" s="18"/>
      <c r="Q13" s="18"/>
      <c r="R13" s="64" t="s">
        <v>524</v>
      </c>
      <c r="S13" s="48">
        <f>SUMIF('UFCA - CR'!$F$52:$F$58,R13,'UFCA - CR'!I54:I60)</f>
        <v>0</v>
      </c>
      <c r="U13" s="18"/>
      <c r="V13" s="18"/>
      <c r="W13" s="64" t="s">
        <v>524</v>
      </c>
      <c r="X13" s="48">
        <f>SUMIF('UFCA - CR'!$F$59:$F$71,W13,'UFCA - CR'!$I$59:$I$71)</f>
        <v>0</v>
      </c>
      <c r="Z13" s="18"/>
      <c r="AA13" s="18"/>
      <c r="AB13" s="64" t="s">
        <v>524</v>
      </c>
      <c r="AC13" s="48">
        <f>SUMIF('UFCA - CR'!$F$72:$F$79,AB13,'UFCA - CR'!$I$72:$I$79)</f>
        <v>0</v>
      </c>
      <c r="AE13" s="18"/>
      <c r="AF13" s="18"/>
      <c r="AG13" s="64" t="s">
        <v>524</v>
      </c>
      <c r="AH13" s="48">
        <f>SUMIF('UFCA - CR'!$F$80:$F$183,AG13,'UFCA - CR'!$I$80:$I$183)-AH14</f>
        <v>0</v>
      </c>
      <c r="AJ13" s="18"/>
      <c r="AK13" s="18"/>
      <c r="AL13" s="64" t="s">
        <v>524</v>
      </c>
      <c r="AM13" s="48">
        <f>SUMIF('UFCA - CR'!$F$184:$F$192,AL13,'UFCA - CR'!$I$184:$I$192)</f>
        <v>0</v>
      </c>
      <c r="AO13" s="18"/>
      <c r="AP13" s="18"/>
      <c r="AQ13" s="64" t="s">
        <v>524</v>
      </c>
      <c r="AR13" s="48">
        <f>SUMIF('UFCA - CR'!$F$193:$F$194,AQ13,'UFCA - CR'!$I$193:$I$194)</f>
        <v>0</v>
      </c>
      <c r="BC13" s="10"/>
      <c r="BD13" s="10"/>
      <c r="BE13" s="229"/>
    </row>
    <row r="14" spans="1:58">
      <c r="A14" s="18"/>
      <c r="B14" s="18"/>
      <c r="C14" s="64" t="s">
        <v>1370</v>
      </c>
      <c r="D14" s="48">
        <f>SUMIF('UFCA - CR'!$F$4:$F$18,C14,'UFCA - CR'!$I$4:$I$18)</f>
        <v>0</v>
      </c>
      <c r="F14" s="18"/>
      <c r="G14" s="18"/>
      <c r="H14" s="64" t="s">
        <v>1370</v>
      </c>
      <c r="I14" s="48">
        <f>SUMIF('UFCA - CR'!$F$19:$F$28,H14,'UFCA - CR'!$I$19:$I$28)</f>
        <v>0</v>
      </c>
      <c r="K14" s="18"/>
      <c r="L14" s="18"/>
      <c r="M14" s="64" t="s">
        <v>1370</v>
      </c>
      <c r="N14" s="48">
        <f>SUMIF('UFCA - CR'!$F$29:$F$51,M14,'UFCA - CR'!$I$29:$I$51)</f>
        <v>0</v>
      </c>
      <c r="P14" s="18"/>
      <c r="Q14" s="18"/>
      <c r="R14" s="64" t="s">
        <v>1370</v>
      </c>
      <c r="S14" s="48">
        <f>SUMIF('UFCA - CR'!$F$52:$F$58,R14,'UFCA - CR'!I55:I61)</f>
        <v>0</v>
      </c>
      <c r="U14" s="18"/>
      <c r="V14" s="18"/>
      <c r="W14" s="64" t="s">
        <v>1370</v>
      </c>
      <c r="X14" s="48">
        <f>SUMIF('UFCA - CR'!$F$59:$F$71,W14,'UFCA - CR'!$I$59:$I$71)</f>
        <v>0</v>
      </c>
      <c r="Z14" s="18"/>
      <c r="AA14" s="18"/>
      <c r="AB14" s="64" t="s">
        <v>1370</v>
      </c>
      <c r="AC14" s="48">
        <f>SUMIF('UFCA - CR'!$F$72:$F$79,AB14,'UFCA - CR'!$I$72:$I$79)</f>
        <v>0</v>
      </c>
      <c r="AE14" s="18"/>
      <c r="AF14" s="18"/>
      <c r="AG14" s="64" t="s">
        <v>1370</v>
      </c>
      <c r="AH14" s="48">
        <f>SUMIF('UFCA - CR'!$F$80:$F$183,AG14,'UFCA - CR'!$I$80:$I$183)</f>
        <v>0</v>
      </c>
      <c r="AJ14" s="18"/>
      <c r="AK14" s="18"/>
      <c r="AL14" s="64" t="s">
        <v>1370</v>
      </c>
      <c r="AM14" s="48">
        <f>SUMIF('UFCA - CR'!$F$184:$F$192,AL14,'UFCA - CR'!$I$184:$I$192)</f>
        <v>0</v>
      </c>
      <c r="AO14" s="18"/>
      <c r="AP14" s="18"/>
      <c r="AQ14" s="64" t="s">
        <v>1370</v>
      </c>
      <c r="AR14" s="48">
        <f>SUMIF('UFCA - CR'!$F$193:$F$194,AQ14,'UFCA - CR'!$I$193:$I$194)</f>
        <v>0</v>
      </c>
      <c r="BC14" s="10"/>
      <c r="BD14" s="10"/>
      <c r="BE14" s="229"/>
    </row>
    <row r="15" spans="1:58">
      <c r="A15" s="18" t="s">
        <v>1373</v>
      </c>
      <c r="B15" s="12"/>
      <c r="C15" s="64" t="s">
        <v>175</v>
      </c>
      <c r="D15" s="48">
        <f>SUMIF('UFCA - CR'!$F$4:$F$18,C15,'UFCA - CR'!$I$4:$I$18)</f>
        <v>0</v>
      </c>
      <c r="F15" s="18" t="s">
        <v>1373</v>
      </c>
      <c r="G15" s="12"/>
      <c r="H15" s="64" t="s">
        <v>175</v>
      </c>
      <c r="I15" s="48">
        <f>SUMIF('UFCA - CR'!$F$19:$F$28,H15,'UFCA - CR'!$I$19:$I$28)</f>
        <v>0</v>
      </c>
      <c r="K15" s="18" t="s">
        <v>1373</v>
      </c>
      <c r="L15" s="12"/>
      <c r="M15" s="64" t="s">
        <v>175</v>
      </c>
      <c r="N15" s="48">
        <f>SUMIF('UFCA - CR'!$F$29:$F$51,M15,'UFCA - CR'!$I$29:$I$51)</f>
        <v>0</v>
      </c>
      <c r="P15" s="18" t="s">
        <v>1373</v>
      </c>
      <c r="Q15" s="12"/>
      <c r="R15" s="64" t="s">
        <v>175</v>
      </c>
      <c r="S15" s="48">
        <f>SUMIF('UFCA - CR'!$F$52:$F$58,R15,'UFCA - CR'!$I$52:$I$58)</f>
        <v>0</v>
      </c>
      <c r="U15" s="18" t="s">
        <v>1373</v>
      </c>
      <c r="V15" s="12"/>
      <c r="W15" s="64" t="s">
        <v>175</v>
      </c>
      <c r="X15" s="48">
        <f>SUMIF('UFCA - CR'!$F$59:$F$71,W15,'UFCA - CR'!$I$59:$I$71)</f>
        <v>0</v>
      </c>
      <c r="Z15" s="18" t="s">
        <v>1373</v>
      </c>
      <c r="AA15" s="12"/>
      <c r="AB15" s="64" t="s">
        <v>175</v>
      </c>
      <c r="AC15" s="48">
        <f>SUMIF('UFCA - CR'!$F$72:$F$79,AB15,'UFCA - CR'!$I$72:$I$79)</f>
        <v>0</v>
      </c>
      <c r="AE15" s="18" t="s">
        <v>1373</v>
      </c>
      <c r="AF15" s="12"/>
      <c r="AG15" s="64" t="s">
        <v>175</v>
      </c>
      <c r="AH15" s="48">
        <f>SUMIF('UFCA - CR'!$F$80:$F$183,AG15,'UFCA - CR'!$I$80:$I$183)</f>
        <v>0</v>
      </c>
      <c r="AJ15" s="18" t="s">
        <v>1373</v>
      </c>
      <c r="AK15" s="12"/>
      <c r="AL15" s="64" t="s">
        <v>175</v>
      </c>
      <c r="AM15" s="48">
        <f>SUMIF('UFCA - CR'!$F$184:$F$192,AL15,'UFCA - CR'!$I$184:$I$192)</f>
        <v>0</v>
      </c>
      <c r="AO15" s="18" t="s">
        <v>1373</v>
      </c>
      <c r="AP15" s="12"/>
      <c r="AQ15" s="64" t="s">
        <v>175</v>
      </c>
      <c r="AR15" s="48">
        <f>SUMIF('UFCA - CR'!$F$193:$F$194,AQ15,'UFCA - CR'!$I$193:$I$194)</f>
        <v>0</v>
      </c>
      <c r="BC15" s="242"/>
      <c r="BE15" s="229"/>
    </row>
    <row r="16" spans="1:58">
      <c r="A16" s="18"/>
      <c r="B16" s="12"/>
      <c r="C16" s="64" t="s">
        <v>109</v>
      </c>
      <c r="D16" s="48">
        <f>SUMIF('UFCA - CR'!$F$4:$F$18,C16,'UFCA - CR'!$I$4:$I$18)</f>
        <v>0</v>
      </c>
      <c r="F16" s="18"/>
      <c r="G16" s="12"/>
      <c r="H16" s="64" t="s">
        <v>109</v>
      </c>
      <c r="I16" s="48">
        <f>SUMIF('UFCA - CR'!$F$19:$F$28,H16,'UFCA - CR'!$I$19:$I$28)</f>
        <v>0</v>
      </c>
      <c r="K16" s="18"/>
      <c r="L16" s="12"/>
      <c r="M16" s="64" t="s">
        <v>109</v>
      </c>
      <c r="N16" s="48">
        <f>SUMIF('UFCA - CR'!$F$29:$F$51,M16,'UFCA - CR'!$I$29:$I$51)</f>
        <v>0</v>
      </c>
      <c r="P16" s="18"/>
      <c r="Q16" s="12"/>
      <c r="R16" s="64" t="s">
        <v>109</v>
      </c>
      <c r="S16" s="48">
        <f>SUMIF('UFCA - CR'!$F$52:$F$58,R16,'UFCA - CR'!$I$52:$I$58)</f>
        <v>0</v>
      </c>
      <c r="U16" s="18"/>
      <c r="V16" s="12"/>
      <c r="W16" s="64" t="s">
        <v>109</v>
      </c>
      <c r="X16" s="48">
        <f>SUMIF('UFCA - CR'!$F$59:$F$71,W16,'UFCA - CR'!$I$59:$I$71)</f>
        <v>0</v>
      </c>
      <c r="Z16" s="18"/>
      <c r="AA16" s="12"/>
      <c r="AB16" s="64" t="s">
        <v>109</v>
      </c>
      <c r="AC16" s="48">
        <f>SUMIF('UFCA - CR'!$F$72:$F$79,AB16,'UFCA - CR'!$I$72:$I$79)</f>
        <v>0</v>
      </c>
      <c r="AE16" s="18"/>
      <c r="AF16" s="12"/>
      <c r="AG16" s="64" t="s">
        <v>109</v>
      </c>
      <c r="AH16" s="48">
        <f>SUMIF('UFCA - CR'!$F$80:$F$183,AG16,'UFCA - CR'!$I$80:$I$183)</f>
        <v>393.55999999999995</v>
      </c>
      <c r="AJ16" s="18"/>
      <c r="AK16" s="12"/>
      <c r="AL16" s="64" t="s">
        <v>109</v>
      </c>
      <c r="AM16" s="48">
        <f>SUMIF('UFCA - CR'!$F$184:$F$192,AL16,'UFCA - CR'!$I$184:$I$192)</f>
        <v>0</v>
      </c>
      <c r="AO16" s="18"/>
      <c r="AP16" s="12"/>
      <c r="AQ16" s="64" t="s">
        <v>109</v>
      </c>
      <c r="AR16" s="48">
        <f>SUMIF('UFCA - CR'!$F$193:$F$194,AQ16,'UFCA - CR'!$I$193:$I$194)</f>
        <v>0</v>
      </c>
      <c r="BC16" s="242"/>
      <c r="BE16" s="229"/>
    </row>
    <row r="17" spans="1:59" ht="14.25" customHeight="1">
      <c r="A17" s="18"/>
      <c r="B17" s="12"/>
      <c r="C17" s="64" t="s">
        <v>1313</v>
      </c>
      <c r="D17" s="48">
        <f>SUMIF('UFCA - CR'!$F$4:$F$18,C17,'UFCA - CR'!$I$4:$I$18)</f>
        <v>0</v>
      </c>
      <c r="F17" s="18"/>
      <c r="G17" s="12"/>
      <c r="H17" s="64" t="s">
        <v>1313</v>
      </c>
      <c r="I17" s="48">
        <f>SUMIF('UFCA - CR'!$F$19:$F$28,H17,'UFCA - CR'!$I$19:$I$28)</f>
        <v>0</v>
      </c>
      <c r="K17" s="18"/>
      <c r="L17" s="12"/>
      <c r="M17" s="64" t="s">
        <v>1313</v>
      </c>
      <c r="N17" s="48">
        <f>SUMIF('UFCA - CR'!$F$29:$F$51,M17,'UFCA - CR'!$I$29:$I$51)</f>
        <v>0</v>
      </c>
      <c r="P17" s="18"/>
      <c r="Q17" s="12"/>
      <c r="R17" s="64" t="s">
        <v>1313</v>
      </c>
      <c r="S17" s="48">
        <f>SUMIF('UFCA - CR'!$F$52:$F$58,R17,'UFCA - CR'!$I$52:$I$58)</f>
        <v>403.2</v>
      </c>
      <c r="U17" s="18"/>
      <c r="V17" s="12"/>
      <c r="W17" s="64" t="s">
        <v>1313</v>
      </c>
      <c r="X17" s="48">
        <f>SUMIF('UFCA - CR'!$F$59:$F$71,W17,'UFCA - CR'!$I$59:$I$71)</f>
        <v>0</v>
      </c>
      <c r="Z17" s="18"/>
      <c r="AA17" s="12"/>
      <c r="AB17" s="64" t="s">
        <v>1313</v>
      </c>
      <c r="AC17" s="48">
        <f>SUMIF('UFCA - CR'!$F$72:$F$79,AB17,'UFCA - CR'!$I$72:$I$79)</f>
        <v>0</v>
      </c>
      <c r="AE17" s="18"/>
      <c r="AF17" s="12"/>
      <c r="AG17" s="64" t="s">
        <v>1313</v>
      </c>
      <c r="AH17" s="48">
        <f>SUMIF('UFCA - CR'!$F$80:$F$183,AG17,'UFCA - CR'!$I$80:$I$183)</f>
        <v>0</v>
      </c>
      <c r="AJ17" s="18"/>
      <c r="AK17" s="12"/>
      <c r="AL17" s="64" t="s">
        <v>1313</v>
      </c>
      <c r="AM17" s="48">
        <f>SUMIF('UFCA - CR'!$F$184:$F$192,AL17,'UFCA - CR'!$I$184:$I$192)</f>
        <v>0</v>
      </c>
      <c r="AO17" s="18"/>
      <c r="AP17" s="12"/>
      <c r="AQ17" s="64" t="s">
        <v>1313</v>
      </c>
      <c r="AR17" s="48">
        <f>SUMIF('UFCA - CR'!$F$193:$F$194,AQ17,'UFCA - CR'!$I$193:$I$194)</f>
        <v>0</v>
      </c>
      <c r="BC17" s="242"/>
      <c r="BE17" s="229"/>
    </row>
    <row r="18" spans="1:59">
      <c r="A18" s="18"/>
      <c r="B18" s="12"/>
      <c r="C18" s="64" t="s">
        <v>110</v>
      </c>
      <c r="D18" s="48">
        <f>SUMIF('UFCA - CR'!$F$4:$F$18,C18,'UFCA - CR'!$I$4:$I$18)</f>
        <v>0</v>
      </c>
      <c r="F18" s="18"/>
      <c r="G18" s="12"/>
      <c r="H18" s="64" t="s">
        <v>110</v>
      </c>
      <c r="I18" s="48">
        <f>SUMIF('UFCA - CR'!$F$19:$F$28,H18,'UFCA - CR'!$I$19:$I$28)</f>
        <v>0</v>
      </c>
      <c r="K18" s="18"/>
      <c r="L18" s="12"/>
      <c r="M18" s="64" t="s">
        <v>110</v>
      </c>
      <c r="N18" s="48">
        <f>SUMIF('UFCA - CR'!$F$29:$F$51,M18,'UFCA - CR'!$I$29:$I$51)</f>
        <v>0</v>
      </c>
      <c r="P18" s="18"/>
      <c r="Q18" s="12"/>
      <c r="R18" s="64" t="s">
        <v>110</v>
      </c>
      <c r="S18" s="48">
        <f>SUMIF('UFCA - CR'!$F$52:$F$58,R18,'UFCA - CR'!$I$52:$I$58)</f>
        <v>0</v>
      </c>
      <c r="U18" s="18"/>
      <c r="V18" s="12"/>
      <c r="W18" s="64" t="s">
        <v>110</v>
      </c>
      <c r="X18" s="48">
        <f>SUMIF('UFCA - CR'!$F$59:$F$71,W18,'UFCA - CR'!$I$59:$I$71)</f>
        <v>0</v>
      </c>
      <c r="Z18" s="18"/>
      <c r="AA18" s="12"/>
      <c r="AB18" s="64" t="s">
        <v>110</v>
      </c>
      <c r="AC18" s="48">
        <f>SUMIF('UFCA - CR'!$F$72:$F$79,AB18,'UFCA - CR'!$I$72:$I$79)</f>
        <v>0</v>
      </c>
      <c r="AE18" s="18"/>
      <c r="AF18" s="12"/>
      <c r="AG18" s="64" t="s">
        <v>110</v>
      </c>
      <c r="AH18" s="48">
        <f>SUMIF('UFCA - CR'!$F$80:$F$183,AG18,'UFCA - CR'!$I$80:$I$183)</f>
        <v>0</v>
      </c>
      <c r="AJ18" s="18"/>
      <c r="AK18" s="12"/>
      <c r="AL18" s="64" t="s">
        <v>110</v>
      </c>
      <c r="AM18" s="48">
        <f>SUMIF('UFCA - CR'!$F$184:$F$192,AL18,'UFCA - CR'!$I$184:$I$192)</f>
        <v>0</v>
      </c>
      <c r="AO18" s="18"/>
      <c r="AP18" s="12"/>
      <c r="AQ18" s="64" t="s">
        <v>110</v>
      </c>
      <c r="AR18" s="48">
        <f>SUMIF('UFCA - CR'!$F$193:$F$194,AQ18,'UFCA - CR'!$I$193:$I$194)</f>
        <v>0</v>
      </c>
      <c r="BC18" s="242"/>
      <c r="BE18" s="229"/>
    </row>
    <row r="19" spans="1:59">
      <c r="A19" s="18"/>
      <c r="B19" s="12"/>
      <c r="C19" s="64" t="s">
        <v>211</v>
      </c>
      <c r="D19" s="48">
        <f>SUMIF('UFCA - CR'!$F$4:$F$18,C19,'UFCA - CR'!$I$4:$I$18)</f>
        <v>9.57</v>
      </c>
      <c r="F19" s="18"/>
      <c r="G19" s="12"/>
      <c r="H19" s="64" t="s">
        <v>211</v>
      </c>
      <c r="I19" s="48">
        <f>SUMIF('UFCA - CR'!$F$19:$F$28,H19,'UFCA - CR'!$I$19:$I$28)</f>
        <v>0</v>
      </c>
      <c r="K19" s="18"/>
      <c r="L19" s="12"/>
      <c r="M19" s="64" t="s">
        <v>211</v>
      </c>
      <c r="N19" s="48">
        <f>SUMIF('UFCA - CR'!$F$29:$F$51,M19,'UFCA - CR'!$I$29:$I$51)</f>
        <v>0</v>
      </c>
      <c r="P19" s="18"/>
      <c r="Q19" s="12"/>
      <c r="R19" s="64" t="s">
        <v>211</v>
      </c>
      <c r="S19" s="48">
        <f>SUMIF('UFCA - CR'!$F$52:$F$58,R19,'UFCA - CR'!$I$52:$I$58)</f>
        <v>0</v>
      </c>
      <c r="U19" s="18"/>
      <c r="V19" s="12"/>
      <c r="W19" s="64" t="s">
        <v>211</v>
      </c>
      <c r="X19" s="48">
        <f>SUMIF('UFCA - CR'!$F$59:$F$71,W19,'UFCA - CR'!$I$59:$I$71)</f>
        <v>0</v>
      </c>
      <c r="Z19" s="18"/>
      <c r="AA19" s="12"/>
      <c r="AB19" s="64" t="s">
        <v>211</v>
      </c>
      <c r="AC19" s="48">
        <f>SUMIF('UFCA - CR'!$F$72:$F$79,AB19,'UFCA - CR'!$I$72:$I$79)</f>
        <v>31.36</v>
      </c>
      <c r="AE19" s="18"/>
      <c r="AF19" s="12"/>
      <c r="AG19" s="64" t="s">
        <v>211</v>
      </c>
      <c r="AH19" s="48">
        <f>SUMIF('UFCA - CR'!$F$80:$F$183,AG19,'UFCA - CR'!$I$80:$I$183)</f>
        <v>0</v>
      </c>
      <c r="AJ19" s="18"/>
      <c r="AK19" s="12"/>
      <c r="AL19" s="64" t="s">
        <v>211</v>
      </c>
      <c r="AM19" s="48">
        <f>SUMIF('UFCA - CR'!$F$184:$F$192,AL19,'UFCA - CR'!$I$184:$I$192)</f>
        <v>0</v>
      </c>
      <c r="AO19" s="18"/>
      <c r="AP19" s="12"/>
      <c r="AQ19" s="64" t="s">
        <v>211</v>
      </c>
      <c r="AR19" s="48">
        <f>SUMIF('UFCA - CR'!$F$193:$F$194,AQ19,'UFCA - CR'!$I$193:$I$194)</f>
        <v>0</v>
      </c>
      <c r="BC19" s="242"/>
      <c r="BE19" s="229"/>
    </row>
    <row r="20" spans="1:59">
      <c r="A20" s="18"/>
      <c r="B20" s="12"/>
      <c r="C20" s="64" t="s">
        <v>1371</v>
      </c>
      <c r="D20" s="48">
        <f>SUMIF('UFCA - CR'!$F$4:$F$18,C20,'UFCA - CR'!$I$4:$I$18)</f>
        <v>0</v>
      </c>
      <c r="F20" s="18"/>
      <c r="G20" s="12"/>
      <c r="H20" s="64" t="s">
        <v>1371</v>
      </c>
      <c r="I20" s="48">
        <f>SUMIF('UFCA - CR'!$F$19:$F$28,H20,'UFCA - CR'!$I$19:$I$28)</f>
        <v>0</v>
      </c>
      <c r="K20" s="18"/>
      <c r="L20" s="12"/>
      <c r="M20" s="64" t="s">
        <v>1371</v>
      </c>
      <c r="N20" s="48">
        <f>SUMIF('UFCA - CR'!$F$29:$F$51,M20,'UFCA - CR'!$I$29:$I$51)</f>
        <v>0</v>
      </c>
      <c r="P20" s="18"/>
      <c r="Q20" s="12"/>
      <c r="R20" s="64" t="s">
        <v>1371</v>
      </c>
      <c r="S20" s="48">
        <f>SUMIF('UFCA - CR'!$F$52:$F$58,R20,'UFCA - CR'!$I$52:$I$58)</f>
        <v>0</v>
      </c>
      <c r="U20" s="18"/>
      <c r="V20" s="12"/>
      <c r="W20" s="64" t="s">
        <v>1371</v>
      </c>
      <c r="X20" s="48">
        <f>SUMIF('UFCA - CR'!$F$59:$F$71,W20,'UFCA - CR'!$I$59:$I$71)</f>
        <v>0</v>
      </c>
      <c r="Z20" s="18"/>
      <c r="AA20" s="12"/>
      <c r="AB20" s="64" t="s">
        <v>1371</v>
      </c>
      <c r="AC20" s="48">
        <f>SUMIF('UFCA - CR'!$F$72:$F$79,AB20,'UFCA - CR'!$I$72:$I$79)</f>
        <v>0</v>
      </c>
      <c r="AE20" s="18"/>
      <c r="AF20" s="12"/>
      <c r="AG20" s="64" t="s">
        <v>1371</v>
      </c>
      <c r="AH20" s="48">
        <f>SUMIF('UFCA - CR'!$F$80:$F$183,AG20,'UFCA - CR'!$I$80:$I$183)</f>
        <v>220.06</v>
      </c>
      <c r="AJ20" s="18"/>
      <c r="AK20" s="12"/>
      <c r="AL20" s="64" t="s">
        <v>1371</v>
      </c>
      <c r="AM20" s="48">
        <f>SUMIF('UFCA - CR'!$F$184:$F$192,AL20,'UFCA - CR'!$I$184:$I$192)</f>
        <v>0</v>
      </c>
      <c r="AO20" s="18"/>
      <c r="AP20" s="12"/>
      <c r="AQ20" s="64" t="s">
        <v>1371</v>
      </c>
      <c r="AR20" s="48">
        <f>SUMIF('UFCA - CR'!$F$193:$F$194,AQ20,'UFCA - CR'!$I$193:$I$194)</f>
        <v>0</v>
      </c>
      <c r="BC20" s="242"/>
      <c r="BE20" s="229"/>
    </row>
    <row r="21" spans="1:59">
      <c r="A21" s="18"/>
      <c r="B21" s="12"/>
      <c r="C21" s="64" t="s">
        <v>248</v>
      </c>
      <c r="D21" s="48">
        <f>SUMIF('UFCA - CR'!$F$4:$F$18,C21,'UFCA - CR'!$I$4:$I$18)</f>
        <v>0</v>
      </c>
      <c r="F21" s="18"/>
      <c r="G21" s="12"/>
      <c r="H21" s="64" t="s">
        <v>248</v>
      </c>
      <c r="I21" s="48">
        <f>SUMIF('UFCA - CR'!$F$19:$F$28,H21,'UFCA - CR'!$I$19:$I$28)</f>
        <v>0</v>
      </c>
      <c r="K21" s="18"/>
      <c r="L21" s="12"/>
      <c r="M21" s="64" t="s">
        <v>248</v>
      </c>
      <c r="N21" s="48">
        <f>SUMIF('UFCA - CR'!$F$29:$F$51,M21,'UFCA - CR'!$I$29:$I$51)</f>
        <v>0</v>
      </c>
      <c r="P21" s="18"/>
      <c r="Q21" s="12"/>
      <c r="R21" s="64" t="s">
        <v>248</v>
      </c>
      <c r="S21" s="48">
        <f>SUMIF('UFCA - CR'!$F$52:$F$58,R21,'UFCA - CR'!$I$52:$I$58)</f>
        <v>0</v>
      </c>
      <c r="U21" s="18"/>
      <c r="V21" s="12"/>
      <c r="W21" s="64" t="s">
        <v>248</v>
      </c>
      <c r="X21" s="48">
        <f>SUMIF('UFCA - CR'!$F$59:$F$71,W21,'UFCA - CR'!$I$59:$I$71)</f>
        <v>0</v>
      </c>
      <c r="Z21" s="18"/>
      <c r="AA21" s="12"/>
      <c r="AB21" s="64" t="s">
        <v>248</v>
      </c>
      <c r="AC21" s="48">
        <f>SUMIF('UFCA - CR'!$F$72:$F$79,AB21,'UFCA - CR'!$I$72:$I$79)</f>
        <v>53.33</v>
      </c>
      <c r="AE21" s="18"/>
      <c r="AF21" s="12"/>
      <c r="AG21" s="64" t="s">
        <v>248</v>
      </c>
      <c r="AH21" s="48">
        <f>SUMIF('UFCA - CR'!$F$80:$F$183,AG21,'UFCA - CR'!$I$80:$I$183)</f>
        <v>795.42999999999984</v>
      </c>
      <c r="AJ21" s="18"/>
      <c r="AK21" s="12"/>
      <c r="AL21" s="64" t="s">
        <v>248</v>
      </c>
      <c r="AM21" s="48">
        <f>SUMIF('UFCA - CR'!$F$184:$F$192,AL21,'UFCA - CR'!$I$184:$I$192)</f>
        <v>0</v>
      </c>
      <c r="AO21" s="18"/>
      <c r="AP21" s="12"/>
      <c r="AQ21" s="64" t="s">
        <v>248</v>
      </c>
      <c r="AR21" s="48">
        <f>SUMIF('UFCA - CR'!$F$193:$F$194,AQ21,'UFCA - CR'!$I$193:$I$194)</f>
        <v>0</v>
      </c>
      <c r="BC21" s="242"/>
      <c r="BE21" s="229"/>
    </row>
    <row r="22" spans="1:59">
      <c r="A22" s="18"/>
      <c r="B22" s="12"/>
      <c r="C22" s="64" t="s">
        <v>208</v>
      </c>
      <c r="D22" s="48">
        <f>SUMIF('UFCA - CR'!$F$4:$F$18,C22,'UFCA - CR'!$I$4:$I$18)</f>
        <v>0</v>
      </c>
      <c r="F22" s="18"/>
      <c r="G22" s="12"/>
      <c r="H22" s="64" t="s">
        <v>208</v>
      </c>
      <c r="I22" s="48">
        <f>SUMIF('UFCA - CR'!$F$19:$F$28,H22,'UFCA - CR'!$I$19:$I$28)</f>
        <v>88.2</v>
      </c>
      <c r="K22" s="18"/>
      <c r="L22" s="12"/>
      <c r="M22" s="64" t="s">
        <v>208</v>
      </c>
      <c r="N22" s="48">
        <f>SUMIF('UFCA - CR'!$F$29:$F$51,M22,'UFCA - CR'!$I$29:$I$51)</f>
        <v>88.14</v>
      </c>
      <c r="P22" s="18"/>
      <c r="Q22" s="12"/>
      <c r="R22" s="64" t="s">
        <v>208</v>
      </c>
      <c r="S22" s="48">
        <f>SUMIF('UFCA - CR'!$F$52:$F$58,R22,'UFCA - CR'!$I$52:$I$58)</f>
        <v>0</v>
      </c>
      <c r="U22" s="18"/>
      <c r="V22" s="12"/>
      <c r="W22" s="64" t="s">
        <v>208</v>
      </c>
      <c r="X22" s="48">
        <f>SUMIF('UFCA - CR'!$F$59:$F$71,W22,'UFCA - CR'!$I$59:$I$71)</f>
        <v>0</v>
      </c>
      <c r="Z22" s="18"/>
      <c r="AA22" s="12"/>
      <c r="AB22" s="64" t="s">
        <v>208</v>
      </c>
      <c r="AC22" s="48">
        <f>SUMIF('UFCA - CR'!$F$72:$F$79,AB22,'UFCA - CR'!$I$72:$I$79)</f>
        <v>0</v>
      </c>
      <c r="AE22" s="18"/>
      <c r="AF22" s="12"/>
      <c r="AG22" s="64" t="s">
        <v>208</v>
      </c>
      <c r="AH22" s="48">
        <f>SUMIF('UFCA - CR'!$F$80:$F$183,AG22,'UFCA - CR'!$I$80:$I$183)</f>
        <v>463.95999999999987</v>
      </c>
      <c r="AJ22" s="18"/>
      <c r="AK22" s="12"/>
      <c r="AL22" s="64" t="s">
        <v>208</v>
      </c>
      <c r="AM22" s="48">
        <f>SUMIF('UFCA - CR'!$F$184:$F$192,AL22,'UFCA - CR'!$I$184:$I$192)</f>
        <v>0</v>
      </c>
      <c r="AO22" s="18"/>
      <c r="AP22" s="12"/>
      <c r="AQ22" s="64" t="s">
        <v>208</v>
      </c>
      <c r="AR22" s="48">
        <f>SUMIF('UFCA - CR'!$F$193:$F$194,AQ22,'UFCA - CR'!$I$193:$I$194)</f>
        <v>0</v>
      </c>
      <c r="BC22" s="242"/>
      <c r="BE22" s="229"/>
    </row>
    <row r="23" spans="1:59">
      <c r="A23" s="18"/>
      <c r="B23" s="12"/>
      <c r="C23" s="64" t="s">
        <v>596</v>
      </c>
      <c r="D23" s="48">
        <f>SUMIF('UFCA - CR'!$F$4:$F$18,C23,'UFCA - CR'!$I$4:$I$18)</f>
        <v>0</v>
      </c>
      <c r="F23" s="18"/>
      <c r="G23" s="12"/>
      <c r="H23" s="64" t="s">
        <v>596</v>
      </c>
      <c r="I23" s="48">
        <f>SUMIF('UFCA - CR'!$F$19:$F$28,H23,'UFCA - CR'!$I$19:$I$28)</f>
        <v>0</v>
      </c>
      <c r="K23" s="18"/>
      <c r="L23" s="12"/>
      <c r="M23" s="64" t="s">
        <v>596</v>
      </c>
      <c r="N23" s="48">
        <f>SUMIF('UFCA - CR'!$F$29:$F$51,M23,'UFCA - CR'!$I$29:$I$51)</f>
        <v>0</v>
      </c>
      <c r="P23" s="18"/>
      <c r="Q23" s="12"/>
      <c r="R23" s="64" t="s">
        <v>596</v>
      </c>
      <c r="S23" s="48">
        <f>SUMIF('UFCA - CR'!$F$52:$F$58,R23,'UFCA - CR'!$I$52:$I$58)</f>
        <v>0</v>
      </c>
      <c r="U23" s="18"/>
      <c r="V23" s="12"/>
      <c r="W23" s="64" t="s">
        <v>596</v>
      </c>
      <c r="X23" s="48">
        <f>SUMIF('UFCA - CR'!$F$59:$F$71,W23,'UFCA - CR'!$I$59:$I$71)</f>
        <v>0</v>
      </c>
      <c r="Z23" s="18"/>
      <c r="AA23" s="12"/>
      <c r="AB23" s="64" t="s">
        <v>596</v>
      </c>
      <c r="AC23" s="48">
        <f>SUMIF('UFCA - CR'!$F$72:$F$79,AB23,'UFCA - CR'!$I$72:$I$79)</f>
        <v>0</v>
      </c>
      <c r="AE23" s="18"/>
      <c r="AF23" s="12"/>
      <c r="AG23" s="64" t="s">
        <v>596</v>
      </c>
      <c r="AH23" s="48">
        <f>SUMIF('UFCA - CR'!$F$80:$F$183,AG23,'UFCA - CR'!$I$80:$I$183)</f>
        <v>132.55000000000001</v>
      </c>
      <c r="AJ23" s="18"/>
      <c r="AK23" s="12"/>
      <c r="AL23" s="64" t="s">
        <v>596</v>
      </c>
      <c r="AM23" s="48">
        <f>SUMIF('UFCA - CR'!$F$184:$F$192,AL23,'UFCA - CR'!$I$184:$I$192)</f>
        <v>0</v>
      </c>
      <c r="AO23" s="18"/>
      <c r="AP23" s="12"/>
      <c r="AQ23" s="64" t="s">
        <v>596</v>
      </c>
      <c r="AR23" s="48">
        <f>SUMIF('UFCA - CR'!$F$193:$F$194,AQ23,'UFCA - CR'!$I$193:$I$194)</f>
        <v>0</v>
      </c>
      <c r="BC23" s="242"/>
      <c r="BE23" s="229"/>
    </row>
    <row r="24" spans="1:59">
      <c r="A24" s="18"/>
      <c r="B24" s="12"/>
      <c r="C24" s="64" t="s">
        <v>593</v>
      </c>
      <c r="D24" s="48">
        <f>SUMIF('UFCA - CR'!$F$4:$F$18,C24,'UFCA - CR'!$I$4:$I$18)</f>
        <v>0</v>
      </c>
      <c r="F24" s="18"/>
      <c r="G24" s="12"/>
      <c r="H24" s="64" t="s">
        <v>593</v>
      </c>
      <c r="I24" s="48">
        <f>SUMIF('UFCA - CR'!$F$19:$F$28,H24,'UFCA - CR'!$I$19:$I$28)</f>
        <v>0</v>
      </c>
      <c r="K24" s="18"/>
      <c r="L24" s="12"/>
      <c r="M24" s="64" t="s">
        <v>593</v>
      </c>
      <c r="N24" s="48">
        <f>SUMIF('UFCA - CR'!$F$29:$F$51,M24,'UFCA - CR'!$I$29:$I$51)</f>
        <v>374.45999999999992</v>
      </c>
      <c r="P24" s="18"/>
      <c r="Q24" s="12"/>
      <c r="R24" s="64" t="s">
        <v>593</v>
      </c>
      <c r="S24" s="48">
        <f>SUMIF('UFCA - CR'!$F$52:$F$58,R24,'UFCA - CR'!$I$52:$I$58)</f>
        <v>0</v>
      </c>
      <c r="U24" s="18"/>
      <c r="V24" s="12"/>
      <c r="W24" s="64" t="s">
        <v>593</v>
      </c>
      <c r="X24" s="48">
        <f>SUMIF('UFCA - CR'!$F$59:$F$71,W24,'UFCA - CR'!$I$59:$I$71)</f>
        <v>437.73</v>
      </c>
      <c r="Z24" s="18"/>
      <c r="AA24" s="12"/>
      <c r="AB24" s="64" t="s">
        <v>593</v>
      </c>
      <c r="AC24" s="48">
        <f>SUMIF('UFCA - CR'!$F$72:$F$79,AB24,'UFCA - CR'!$I$72:$I$79)</f>
        <v>62.3</v>
      </c>
      <c r="AE24" s="18"/>
      <c r="AF24" s="12"/>
      <c r="AG24" s="64" t="s">
        <v>593</v>
      </c>
      <c r="AH24" s="48">
        <f>SUMIF('UFCA - CR'!$F$80:$F$183,AG24,'UFCA - CR'!$I$80:$I$183)</f>
        <v>0</v>
      </c>
      <c r="AJ24" s="18"/>
      <c r="AK24" s="12"/>
      <c r="AL24" s="64" t="s">
        <v>593</v>
      </c>
      <c r="AM24" s="48">
        <f>SUMIF('UFCA - CR'!$F$184:$F$192,AL24,'UFCA - CR'!$I$184:$I$192)</f>
        <v>0</v>
      </c>
      <c r="AO24" s="18"/>
      <c r="AP24" s="12"/>
      <c r="AQ24" s="64" t="s">
        <v>593</v>
      </c>
      <c r="AR24" s="48">
        <f>SUMIF('UFCA - CR'!$F$193:$F$194,AQ24,'UFCA - CR'!$I$193:$I$194)</f>
        <v>0</v>
      </c>
      <c r="BC24" s="242"/>
      <c r="BE24" s="229"/>
    </row>
    <row r="25" spans="1:59">
      <c r="A25" s="18"/>
      <c r="B25" s="12"/>
      <c r="C25" s="64" t="s">
        <v>595</v>
      </c>
      <c r="D25" s="48">
        <f>SUMIF('UFCA - CR'!$F$4:$F$18,C25,'UFCA - CR'!$I$4:$I$18)</f>
        <v>0</v>
      </c>
      <c r="F25" s="18"/>
      <c r="G25" s="12"/>
      <c r="H25" s="64" t="s">
        <v>595</v>
      </c>
      <c r="I25" s="48">
        <f>SUMIF('UFCA - CR'!$F$19:$F$28,H25,'UFCA - CR'!$I$19:$I$28)</f>
        <v>0</v>
      </c>
      <c r="K25" s="18"/>
      <c r="L25" s="12"/>
      <c r="M25" s="64" t="s">
        <v>595</v>
      </c>
      <c r="N25" s="48">
        <f>SUMIF('UFCA - CR'!$F$29:$F$51,M25,'UFCA - CR'!$I$29:$I$51)</f>
        <v>0</v>
      </c>
      <c r="P25" s="18"/>
      <c r="Q25" s="12"/>
      <c r="R25" s="64" t="s">
        <v>595</v>
      </c>
      <c r="S25" s="48">
        <f>SUMIF('UFCA - CR'!$F$52:$F$58,R25,'UFCA - CR'!$I$52:$I$58)</f>
        <v>0</v>
      </c>
      <c r="U25" s="18"/>
      <c r="V25" s="12"/>
      <c r="W25" s="64" t="s">
        <v>595</v>
      </c>
      <c r="X25" s="48">
        <f>SUMIF('UFCA - CR'!$F$59:$F$71,W25,'UFCA - CR'!$I$59:$I$71)</f>
        <v>0</v>
      </c>
      <c r="Z25" s="18"/>
      <c r="AA25" s="12"/>
      <c r="AB25" s="64" t="s">
        <v>595</v>
      </c>
      <c r="AC25" s="48">
        <f>SUMIF('UFCA - CR'!$F$72:$F$79,AB25,'UFCA - CR'!$I$72:$I$79)</f>
        <v>0</v>
      </c>
      <c r="AE25" s="18"/>
      <c r="AF25" s="12"/>
      <c r="AG25" s="64" t="s">
        <v>595</v>
      </c>
      <c r="AH25" s="48">
        <f>SUMIF('UFCA - CR'!$F$80:$F$183,AG25,'UFCA - CR'!$I$80:$I$183)</f>
        <v>0</v>
      </c>
      <c r="AJ25" s="18"/>
      <c r="AK25" s="12"/>
      <c r="AL25" s="64" t="s">
        <v>595</v>
      </c>
      <c r="AM25" s="48">
        <f>SUMIF('UFCA - CR'!$F$184:$F$192,AL25,'UFCA - CR'!$I$184:$I$192)</f>
        <v>480</v>
      </c>
      <c r="AO25" s="18"/>
      <c r="AP25" s="12"/>
      <c r="AQ25" s="64" t="s">
        <v>595</v>
      </c>
      <c r="AR25" s="48">
        <f>SUMIF('UFCA - CR'!$F$193:$F$194,AQ25,'UFCA - CR'!$I$193:$I$194)</f>
        <v>0</v>
      </c>
      <c r="BC25" s="242"/>
      <c r="BE25" s="229"/>
    </row>
    <row r="26" spans="1:59">
      <c r="A26" s="18"/>
      <c r="B26" s="12"/>
      <c r="C26" s="64" t="s">
        <v>210</v>
      </c>
      <c r="D26" s="48">
        <f>SUMIF('UFCA - CR'!$F$4:$F$18,C26,'UFCA - CR'!$I$4:$I$18)</f>
        <v>0</v>
      </c>
      <c r="F26" s="18"/>
      <c r="G26" s="12"/>
      <c r="H26" s="64" t="s">
        <v>210</v>
      </c>
      <c r="I26" s="48">
        <f>SUMIF('UFCA - CR'!$F$19:$F$28,H26,'UFCA - CR'!$I$19:$I$28)</f>
        <v>0</v>
      </c>
      <c r="K26" s="18"/>
      <c r="L26" s="12"/>
      <c r="M26" s="64" t="s">
        <v>210</v>
      </c>
      <c r="N26" s="48">
        <f>SUMIF('UFCA - CR'!$F$29:$F$51,M26,'UFCA - CR'!$I$29:$I$51)</f>
        <v>0</v>
      </c>
      <c r="P26" s="18"/>
      <c r="Q26" s="12"/>
      <c r="R26" s="64" t="s">
        <v>210</v>
      </c>
      <c r="S26" s="48">
        <f>SUMIF('UFCA - CR'!$F$52:$F$58,R26,'UFCA - CR'!$I$52:$I$58)</f>
        <v>0</v>
      </c>
      <c r="U26" s="18"/>
      <c r="V26" s="12"/>
      <c r="W26" s="64" t="s">
        <v>210</v>
      </c>
      <c r="X26" s="48">
        <f>SUMIF('UFCA - CR'!$F$59:$F$71,W26,'UFCA - CR'!$I$59:$I$71)</f>
        <v>0</v>
      </c>
      <c r="Z26" s="18"/>
      <c r="AA26" s="12"/>
      <c r="AB26" s="64" t="s">
        <v>210</v>
      </c>
      <c r="AC26" s="48">
        <f>SUMIF('UFCA - CR'!$F$72:$F$79,AB26,'UFCA - CR'!$I$72:$I$79)</f>
        <v>192.38</v>
      </c>
      <c r="AE26" s="18"/>
      <c r="AF26" s="12"/>
      <c r="AG26" s="64" t="s">
        <v>210</v>
      </c>
      <c r="AH26" s="48">
        <f>SUMIF('UFCA - CR'!$F$80:$F$183,AG26,'UFCA - CR'!$I$80:$I$183)</f>
        <v>0</v>
      </c>
      <c r="AJ26" s="18"/>
      <c r="AK26" s="12"/>
      <c r="AL26" s="64" t="s">
        <v>210</v>
      </c>
      <c r="AM26" s="48">
        <f>SUMIF('UFCA - CR'!$F$184:$F$192,AL26,'UFCA - CR'!$I$184:$I$192)</f>
        <v>0</v>
      </c>
      <c r="AO26" s="18"/>
      <c r="AP26" s="12"/>
      <c r="AQ26" s="64" t="s">
        <v>210</v>
      </c>
      <c r="AR26" s="48">
        <f>SUMIF('UFCA - CR'!$F$193:$F$194,AQ26,'UFCA - CR'!$I$193:$I$194)</f>
        <v>0</v>
      </c>
      <c r="BC26" s="242"/>
      <c r="BE26" s="229"/>
    </row>
    <row r="27" spans="1:59">
      <c r="A27" s="18"/>
      <c r="B27" s="12"/>
      <c r="C27" s="64" t="s">
        <v>594</v>
      </c>
      <c r="D27" s="48">
        <f>SUMIF('UFCA - CR'!$F$4:$F$18,C27,'UFCA - CR'!$I$4:$I$18)</f>
        <v>0</v>
      </c>
      <c r="F27" s="18"/>
      <c r="G27" s="12"/>
      <c r="H27" s="64" t="s">
        <v>594</v>
      </c>
      <c r="I27" s="48">
        <f>SUMIF('UFCA - CR'!$F$19:$F$28,H27,'UFCA - CR'!$I$19:$I$28)</f>
        <v>0</v>
      </c>
      <c r="K27" s="18"/>
      <c r="L27" s="12"/>
      <c r="M27" s="64" t="s">
        <v>594</v>
      </c>
      <c r="N27" s="48">
        <f>SUMIF('UFCA - CR'!$F$29:$F$51,M27,'UFCA - CR'!$I$29:$I$51)</f>
        <v>0</v>
      </c>
      <c r="P27" s="18"/>
      <c r="Q27" s="12"/>
      <c r="R27" s="64" t="s">
        <v>594</v>
      </c>
      <c r="S27" s="48">
        <f>SUMIF('UFCA - CR'!$F$52:$F$58,R27,'UFCA - CR'!$I$52:$I$58)</f>
        <v>0</v>
      </c>
      <c r="U27" s="18"/>
      <c r="V27" s="12"/>
      <c r="W27" s="64" t="s">
        <v>594</v>
      </c>
      <c r="X27" s="48">
        <f>SUMIF('UFCA - CR'!$F$59:$F$71,W27,'UFCA - CR'!$I$59:$I$71)</f>
        <v>0</v>
      </c>
      <c r="Z27" s="18"/>
      <c r="AA27" s="12"/>
      <c r="AB27" s="64" t="s">
        <v>594</v>
      </c>
      <c r="AC27" s="48">
        <f>SUMIF('UFCA - CR'!$F$72:$F$79,AB27,'UFCA - CR'!$I$72:$I$79)</f>
        <v>0</v>
      </c>
      <c r="AE27" s="18"/>
      <c r="AF27" s="12"/>
      <c r="AG27" s="64" t="s">
        <v>594</v>
      </c>
      <c r="AH27" s="48">
        <f>SUMIF('UFCA - CR'!$F$80:$F$183,AG27,'UFCA - CR'!$I$80:$I$183)</f>
        <v>0</v>
      </c>
      <c r="AJ27" s="18"/>
      <c r="AK27" s="12"/>
      <c r="AL27" s="64" t="s">
        <v>594</v>
      </c>
      <c r="AM27" s="48">
        <f>SUMIF('UFCA - CR'!$F$184:$F$192,AL27,'UFCA - CR'!$I$184:$I$192)</f>
        <v>71.460000000000008</v>
      </c>
      <c r="AO27" s="18"/>
      <c r="AP27" s="12"/>
      <c r="AQ27" s="64" t="s">
        <v>594</v>
      </c>
      <c r="AR27" s="48">
        <f>SUMIF('UFCA - CR'!$F$193:$F$194,AQ27,'UFCA - CR'!$I$193:$I$194)</f>
        <v>0</v>
      </c>
      <c r="BC27" s="242"/>
      <c r="BE27" s="229"/>
    </row>
    <row r="30" spans="1:59">
      <c r="C30" s="18" t="s">
        <v>212</v>
      </c>
      <c r="D30" s="18" t="s">
        <v>1355</v>
      </c>
      <c r="H30" s="18" t="s">
        <v>918</v>
      </c>
      <c r="I30" s="18" t="s">
        <v>1356</v>
      </c>
      <c r="M30" s="18" t="s">
        <v>1478</v>
      </c>
      <c r="N30" s="18" t="s">
        <v>1357</v>
      </c>
      <c r="R30" s="18" t="s">
        <v>201</v>
      </c>
      <c r="S30" s="18" t="s">
        <v>1358</v>
      </c>
      <c r="W30" s="18" t="s">
        <v>1477</v>
      </c>
      <c r="X30" s="18" t="s">
        <v>1405</v>
      </c>
      <c r="AB30" s="18" t="s">
        <v>210</v>
      </c>
      <c r="AC30" s="18" t="s">
        <v>1406</v>
      </c>
      <c r="AG30" s="18" t="s">
        <v>1481</v>
      </c>
      <c r="AH30" s="18" t="s">
        <v>1409</v>
      </c>
      <c r="AL30" s="18" t="s">
        <v>1504</v>
      </c>
      <c r="AM30" s="18"/>
      <c r="AQ30" s="18" t="s">
        <v>246</v>
      </c>
      <c r="AR30" s="18"/>
      <c r="AT30" s="80"/>
      <c r="AZ30" s="3"/>
      <c r="BA30" s="80"/>
      <c r="BB30" s="80"/>
      <c r="BC30" s="80"/>
      <c r="BF30" s="3"/>
      <c r="BG30" s="241"/>
    </row>
    <row r="31" spans="1:59" ht="30" customHeight="1">
      <c r="A31" s="48"/>
      <c r="B31" s="12" t="s">
        <v>1362</v>
      </c>
      <c r="C31" s="197">
        <f>SUM(D4:D27)</f>
        <v>377.75</v>
      </c>
      <c r="D31" s="234">
        <f>SUM(C31)</f>
        <v>377.75</v>
      </c>
      <c r="F31" s="48"/>
      <c r="G31" s="12" t="s">
        <v>1362</v>
      </c>
      <c r="H31" s="197">
        <f>SUM(I4:I27)</f>
        <v>292.89999999999998</v>
      </c>
      <c r="I31" s="234">
        <f>SUM(H31)</f>
        <v>292.89999999999998</v>
      </c>
      <c r="K31" s="48"/>
      <c r="L31" s="12" t="s">
        <v>1362</v>
      </c>
      <c r="M31" s="197">
        <f>SUM(N4:N27)</f>
        <v>844.42999999999984</v>
      </c>
      <c r="N31" s="234">
        <f>SUM(M31)</f>
        <v>844.42999999999984</v>
      </c>
      <c r="P31" s="48"/>
      <c r="Q31" s="12" t="s">
        <v>1362</v>
      </c>
      <c r="R31" s="197">
        <f>SUM(S4:S27)</f>
        <v>464.40999999999997</v>
      </c>
      <c r="S31" s="234">
        <f>SUM(R31)</f>
        <v>464.40999999999997</v>
      </c>
      <c r="U31" s="48"/>
      <c r="V31" s="12" t="s">
        <v>1362</v>
      </c>
      <c r="W31" s="197">
        <f>SUM(X4:X27)</f>
        <v>754.68000000000006</v>
      </c>
      <c r="X31" s="234">
        <f>SUM(W31)</f>
        <v>754.68000000000006</v>
      </c>
      <c r="Z31" s="48"/>
      <c r="AA31" s="12" t="s">
        <v>1362</v>
      </c>
      <c r="AB31" s="197">
        <f>SUM(AC4:AC27)</f>
        <v>395.97</v>
      </c>
      <c r="AC31" s="234">
        <f>SUM(AB31)</f>
        <v>395.97</v>
      </c>
      <c r="AE31" s="48"/>
      <c r="AF31" s="12" t="s">
        <v>1362</v>
      </c>
      <c r="AG31" s="197">
        <f>SUM(AH4:AH27)</f>
        <v>3092.09</v>
      </c>
      <c r="AH31" s="234">
        <f>SUM(AG31)</f>
        <v>3092.09</v>
      </c>
      <c r="AJ31" s="48"/>
      <c r="AK31" s="12" t="s">
        <v>1362</v>
      </c>
      <c r="AL31" s="197">
        <f>SUM(AM4:AM27)</f>
        <v>712.48</v>
      </c>
      <c r="AM31" s="234">
        <f>SUM(AL31)</f>
        <v>712.48</v>
      </c>
      <c r="AO31" s="48"/>
      <c r="AP31" s="12" t="s">
        <v>1362</v>
      </c>
      <c r="AQ31" s="197">
        <f>SUM(AR4:AR27)</f>
        <v>1264.82</v>
      </c>
      <c r="AR31" s="234">
        <f>SUM(AQ31)</f>
        <v>1264.82</v>
      </c>
      <c r="AT31" s="216"/>
      <c r="AZ31" s="215"/>
      <c r="BA31" s="216"/>
      <c r="BB31" s="216"/>
      <c r="BC31" s="216"/>
      <c r="BE31" s="11"/>
      <c r="BF31" s="215"/>
      <c r="BG31" s="216"/>
    </row>
    <row r="32" spans="1:59" ht="15" customHeight="1">
      <c r="A32" s="98" t="s">
        <v>1367</v>
      </c>
      <c r="B32" s="200" t="s">
        <v>1361</v>
      </c>
      <c r="C32" s="198">
        <f>SUM(D4)</f>
        <v>100.1</v>
      </c>
      <c r="D32" s="234">
        <f t="shared" ref="D32:D38" si="0">SUM(C32)</f>
        <v>100.1</v>
      </c>
      <c r="F32" s="98" t="s">
        <v>1367</v>
      </c>
      <c r="G32" s="200" t="s">
        <v>1361</v>
      </c>
      <c r="H32" s="198">
        <f>SUM(I4)</f>
        <v>0</v>
      </c>
      <c r="I32" s="234">
        <f t="shared" ref="I32:I36" si="1">SUM(H32)</f>
        <v>0</v>
      </c>
      <c r="K32" s="98" t="s">
        <v>1367</v>
      </c>
      <c r="L32" s="200" t="s">
        <v>1361</v>
      </c>
      <c r="M32" s="198">
        <f>SUM(N4)</f>
        <v>0</v>
      </c>
      <c r="N32" s="234">
        <f t="shared" ref="N32:N36" si="2">SUM(M32)</f>
        <v>0</v>
      </c>
      <c r="P32" s="98" t="s">
        <v>1367</v>
      </c>
      <c r="Q32" s="200" t="s">
        <v>1361</v>
      </c>
      <c r="R32" s="198">
        <f>SUM(S4)</f>
        <v>0</v>
      </c>
      <c r="S32" s="234">
        <f t="shared" ref="S32:S36" si="3">SUM(R32)</f>
        <v>0</v>
      </c>
      <c r="U32" s="98" t="s">
        <v>1367</v>
      </c>
      <c r="V32" s="200" t="s">
        <v>1361</v>
      </c>
      <c r="W32" s="198">
        <f>SUM(X4)</f>
        <v>0</v>
      </c>
      <c r="X32" s="234">
        <f t="shared" ref="X32:X36" si="4">SUM(W32)</f>
        <v>0</v>
      </c>
      <c r="Z32" s="98" t="s">
        <v>1367</v>
      </c>
      <c r="AA32" s="200" t="s">
        <v>1361</v>
      </c>
      <c r="AB32" s="198">
        <f>SUM(AC4)</f>
        <v>18.5</v>
      </c>
      <c r="AC32" s="234">
        <f t="shared" ref="AC32:AC36" si="5">SUM(AB32)</f>
        <v>18.5</v>
      </c>
      <c r="AE32" s="98" t="s">
        <v>1367</v>
      </c>
      <c r="AF32" s="200" t="s">
        <v>1361</v>
      </c>
      <c r="AG32" s="198">
        <f>SUM(AH4)</f>
        <v>192.64</v>
      </c>
      <c r="AH32" s="234">
        <f t="shared" ref="AH32:AH36" si="6">SUM(AG32)</f>
        <v>192.64</v>
      </c>
      <c r="AJ32" s="98" t="s">
        <v>1367</v>
      </c>
      <c r="AK32" s="200" t="s">
        <v>1361</v>
      </c>
      <c r="AL32" s="198">
        <f>SUM(AM4)</f>
        <v>0</v>
      </c>
      <c r="AM32" s="234">
        <f t="shared" ref="AM32:AM36" si="7">SUM(AL32)</f>
        <v>0</v>
      </c>
      <c r="AO32" s="98" t="s">
        <v>1367</v>
      </c>
      <c r="AP32" s="200" t="s">
        <v>1361</v>
      </c>
      <c r="AQ32" s="198">
        <f>SUM(AR4)</f>
        <v>0</v>
      </c>
      <c r="AR32" s="234">
        <f t="shared" ref="AR32:AR36" si="8">SUM(AQ32)</f>
        <v>0</v>
      </c>
      <c r="AT32" s="216"/>
      <c r="AZ32" s="4"/>
      <c r="BA32" s="216"/>
      <c r="BB32" s="216"/>
      <c r="BC32" s="216"/>
      <c r="BD32" s="242"/>
      <c r="BE32" s="243"/>
      <c r="BF32" s="4"/>
      <c r="BG32" s="216"/>
    </row>
    <row r="33" spans="1:59" ht="15" customHeight="1">
      <c r="A33" s="259" t="s">
        <v>1363</v>
      </c>
      <c r="B33" s="48" t="s">
        <v>1365</v>
      </c>
      <c r="C33" s="198">
        <f t="shared" ref="C33" si="9">D5</f>
        <v>0</v>
      </c>
      <c r="D33" s="234">
        <f t="shared" si="0"/>
        <v>0</v>
      </c>
      <c r="F33" s="259" t="s">
        <v>1363</v>
      </c>
      <c r="G33" s="48" t="s">
        <v>1365</v>
      </c>
      <c r="H33" s="198">
        <f t="shared" ref="H33" si="10">I5</f>
        <v>0</v>
      </c>
      <c r="I33" s="234">
        <f t="shared" si="1"/>
        <v>0</v>
      </c>
      <c r="K33" s="259" t="s">
        <v>1363</v>
      </c>
      <c r="L33" s="48" t="s">
        <v>1365</v>
      </c>
      <c r="M33" s="198">
        <f t="shared" ref="M33" si="11">N5</f>
        <v>0</v>
      </c>
      <c r="N33" s="234">
        <f t="shared" si="2"/>
        <v>0</v>
      </c>
      <c r="P33" s="259" t="s">
        <v>1363</v>
      </c>
      <c r="Q33" s="48" t="s">
        <v>1365</v>
      </c>
      <c r="R33" s="198">
        <f t="shared" ref="R33" si="12">S5</f>
        <v>0</v>
      </c>
      <c r="S33" s="234">
        <f t="shared" si="3"/>
        <v>0</v>
      </c>
      <c r="U33" s="259" t="s">
        <v>1363</v>
      </c>
      <c r="V33" s="48" t="s">
        <v>1365</v>
      </c>
      <c r="W33" s="198">
        <f t="shared" ref="W33" si="13">X5</f>
        <v>0</v>
      </c>
      <c r="X33" s="234">
        <f t="shared" si="4"/>
        <v>0</v>
      </c>
      <c r="Z33" s="259" t="s">
        <v>1363</v>
      </c>
      <c r="AA33" s="48" t="s">
        <v>1365</v>
      </c>
      <c r="AB33" s="198">
        <f t="shared" ref="AB33" si="14">AC5</f>
        <v>0</v>
      </c>
      <c r="AC33" s="234">
        <f t="shared" si="5"/>
        <v>0</v>
      </c>
      <c r="AE33" s="259" t="s">
        <v>1363</v>
      </c>
      <c r="AF33" s="48" t="s">
        <v>1365</v>
      </c>
      <c r="AG33" s="198">
        <f t="shared" ref="AG33" si="15">AH5</f>
        <v>0</v>
      </c>
      <c r="AH33" s="234">
        <f t="shared" si="6"/>
        <v>0</v>
      </c>
      <c r="AJ33" s="259" t="s">
        <v>1363</v>
      </c>
      <c r="AK33" s="48" t="s">
        <v>1365</v>
      </c>
      <c r="AL33" s="198">
        <f t="shared" ref="AL33" si="16">AM5</f>
        <v>0</v>
      </c>
      <c r="AM33" s="234">
        <f t="shared" si="7"/>
        <v>0</v>
      </c>
      <c r="AO33" s="259" t="s">
        <v>1363</v>
      </c>
      <c r="AP33" s="48" t="s">
        <v>1365</v>
      </c>
      <c r="AQ33" s="198">
        <f t="shared" ref="AQ33" si="17">AR5</f>
        <v>0</v>
      </c>
      <c r="AR33" s="234">
        <f t="shared" si="8"/>
        <v>0</v>
      </c>
      <c r="AT33" s="216"/>
      <c r="AZ33" s="4"/>
      <c r="BA33" s="216"/>
      <c r="BB33" s="216"/>
      <c r="BC33" s="216"/>
      <c r="BD33" s="242"/>
      <c r="BF33" s="4"/>
      <c r="BG33" s="216"/>
    </row>
    <row r="34" spans="1:59" ht="29.25" customHeight="1">
      <c r="A34" s="260"/>
      <c r="B34" s="48" t="s">
        <v>1366</v>
      </c>
      <c r="C34" s="198">
        <v>0</v>
      </c>
      <c r="D34" s="234">
        <f t="shared" si="0"/>
        <v>0</v>
      </c>
      <c r="F34" s="260"/>
      <c r="G34" s="48" t="s">
        <v>1366</v>
      </c>
      <c r="H34" s="198">
        <v>0</v>
      </c>
      <c r="I34" s="234">
        <f t="shared" si="1"/>
        <v>0</v>
      </c>
      <c r="K34" s="260"/>
      <c r="L34" s="48" t="s">
        <v>1366</v>
      </c>
      <c r="M34" s="198">
        <v>0</v>
      </c>
      <c r="N34" s="234">
        <f t="shared" si="2"/>
        <v>0</v>
      </c>
      <c r="P34" s="260"/>
      <c r="Q34" s="48" t="s">
        <v>1366</v>
      </c>
      <c r="R34" s="198">
        <v>0</v>
      </c>
      <c r="S34" s="234">
        <f t="shared" si="3"/>
        <v>0</v>
      </c>
      <c r="U34" s="260"/>
      <c r="V34" s="48" t="s">
        <v>1366</v>
      </c>
      <c r="W34" s="198">
        <v>0</v>
      </c>
      <c r="X34" s="234">
        <f t="shared" si="4"/>
        <v>0</v>
      </c>
      <c r="Z34" s="260"/>
      <c r="AA34" s="48" t="s">
        <v>1366</v>
      </c>
      <c r="AB34" s="198">
        <v>0</v>
      </c>
      <c r="AC34" s="234">
        <f t="shared" si="5"/>
        <v>0</v>
      </c>
      <c r="AE34" s="260"/>
      <c r="AF34" s="48" t="s">
        <v>1366</v>
      </c>
      <c r="AG34" s="198">
        <v>0</v>
      </c>
      <c r="AH34" s="234">
        <f t="shared" si="6"/>
        <v>0</v>
      </c>
      <c r="AJ34" s="260"/>
      <c r="AK34" s="48" t="s">
        <v>1366</v>
      </c>
      <c r="AL34" s="198">
        <v>0</v>
      </c>
      <c r="AM34" s="234">
        <f t="shared" si="7"/>
        <v>0</v>
      </c>
      <c r="AO34" s="260"/>
      <c r="AP34" s="48" t="s">
        <v>1366</v>
      </c>
      <c r="AQ34" s="198">
        <v>0</v>
      </c>
      <c r="AR34" s="234">
        <f t="shared" si="8"/>
        <v>0</v>
      </c>
      <c r="AT34" s="216"/>
      <c r="AZ34" s="4"/>
      <c r="BA34" s="216"/>
      <c r="BB34" s="216"/>
      <c r="BC34" s="216"/>
      <c r="BD34" s="242"/>
      <c r="BF34" s="4"/>
      <c r="BG34" s="216"/>
    </row>
    <row r="35" spans="1:59">
      <c r="A35" s="64" t="s">
        <v>1368</v>
      </c>
      <c r="B35" s="48" t="s">
        <v>1365</v>
      </c>
      <c r="C35" s="198">
        <f>SUM(D6:D10)</f>
        <v>29.630000000000003</v>
      </c>
      <c r="D35" s="234">
        <f t="shared" si="0"/>
        <v>29.630000000000003</v>
      </c>
      <c r="F35" s="64" t="s">
        <v>1368</v>
      </c>
      <c r="G35" s="48" t="s">
        <v>1365</v>
      </c>
      <c r="H35" s="198">
        <f>SUM(I6:I10)</f>
        <v>20.2</v>
      </c>
      <c r="I35" s="234">
        <f t="shared" si="1"/>
        <v>20.2</v>
      </c>
      <c r="K35" s="64" t="s">
        <v>1368</v>
      </c>
      <c r="L35" s="48" t="s">
        <v>1365</v>
      </c>
      <c r="M35" s="198">
        <f>SUM(N6:N10)</f>
        <v>110.68</v>
      </c>
      <c r="N35" s="234">
        <f t="shared" si="2"/>
        <v>110.68</v>
      </c>
      <c r="P35" s="64" t="s">
        <v>1368</v>
      </c>
      <c r="Q35" s="48" t="s">
        <v>1365</v>
      </c>
      <c r="R35" s="198">
        <f>SUM(S6:S10)</f>
        <v>61.21</v>
      </c>
      <c r="S35" s="234">
        <f t="shared" si="3"/>
        <v>61.21</v>
      </c>
      <c r="U35" s="64" t="s">
        <v>1368</v>
      </c>
      <c r="V35" s="48" t="s">
        <v>1365</v>
      </c>
      <c r="W35" s="198">
        <f>SUM(X6:X10)</f>
        <v>48.8</v>
      </c>
      <c r="X35" s="234">
        <f t="shared" si="4"/>
        <v>48.8</v>
      </c>
      <c r="Z35" s="64" t="s">
        <v>1368</v>
      </c>
      <c r="AA35" s="48" t="s">
        <v>1365</v>
      </c>
      <c r="AB35" s="198">
        <f>SUM(AC6:AC10)</f>
        <v>30.6</v>
      </c>
      <c r="AC35" s="234">
        <f t="shared" si="5"/>
        <v>30.6</v>
      </c>
      <c r="AE35" s="64" t="s">
        <v>1368</v>
      </c>
      <c r="AF35" s="48" t="s">
        <v>1365</v>
      </c>
      <c r="AG35" s="198">
        <f>SUM(AH6:AH10)</f>
        <v>191.26</v>
      </c>
      <c r="AH35" s="234">
        <f t="shared" si="6"/>
        <v>191.26</v>
      </c>
      <c r="AJ35" s="64" t="s">
        <v>1368</v>
      </c>
      <c r="AK35" s="48" t="s">
        <v>1365</v>
      </c>
      <c r="AL35" s="198">
        <f>SUM(AM6:AM10)</f>
        <v>39.61</v>
      </c>
      <c r="AM35" s="234">
        <f t="shared" si="7"/>
        <v>39.61</v>
      </c>
      <c r="AO35" s="64" t="s">
        <v>1368</v>
      </c>
      <c r="AP35" s="48" t="s">
        <v>1365</v>
      </c>
      <c r="AQ35" s="198">
        <f>SUM(AR6:AR10)</f>
        <v>0</v>
      </c>
      <c r="AR35" s="234">
        <f t="shared" si="8"/>
        <v>0</v>
      </c>
      <c r="AT35" s="216"/>
      <c r="AZ35" s="4"/>
      <c r="BA35" s="216"/>
      <c r="BB35" s="216"/>
      <c r="BC35" s="216"/>
      <c r="BD35" s="229"/>
      <c r="BF35" s="4"/>
      <c r="BG35" s="216"/>
    </row>
    <row r="36" spans="1:59">
      <c r="A36" s="64"/>
      <c r="B36" s="48" t="s">
        <v>1366</v>
      </c>
      <c r="C36" s="198">
        <v>0</v>
      </c>
      <c r="D36" s="234">
        <f t="shared" si="0"/>
        <v>0</v>
      </c>
      <c r="F36" s="64"/>
      <c r="G36" s="48" t="s">
        <v>1366</v>
      </c>
      <c r="H36" s="198">
        <v>0</v>
      </c>
      <c r="I36" s="234">
        <f t="shared" si="1"/>
        <v>0</v>
      </c>
      <c r="K36" s="64"/>
      <c r="L36" s="48" t="s">
        <v>1366</v>
      </c>
      <c r="M36" s="198">
        <v>0</v>
      </c>
      <c r="N36" s="234">
        <f t="shared" si="2"/>
        <v>0</v>
      </c>
      <c r="P36" s="64"/>
      <c r="Q36" s="48" t="s">
        <v>1366</v>
      </c>
      <c r="R36" s="198">
        <v>0</v>
      </c>
      <c r="S36" s="234">
        <f t="shared" si="3"/>
        <v>0</v>
      </c>
      <c r="U36" s="64"/>
      <c r="V36" s="48" t="s">
        <v>1366</v>
      </c>
      <c r="W36" s="198">
        <v>0</v>
      </c>
      <c r="X36" s="234">
        <f t="shared" si="4"/>
        <v>0</v>
      </c>
      <c r="Z36" s="64"/>
      <c r="AA36" s="48" t="s">
        <v>1366</v>
      </c>
      <c r="AB36" s="198">
        <v>0</v>
      </c>
      <c r="AC36" s="234">
        <f t="shared" si="5"/>
        <v>0</v>
      </c>
      <c r="AE36" s="64"/>
      <c r="AF36" s="48" t="s">
        <v>1366</v>
      </c>
      <c r="AG36" s="198">
        <v>0</v>
      </c>
      <c r="AH36" s="234">
        <f t="shared" si="6"/>
        <v>0</v>
      </c>
      <c r="AJ36" s="64"/>
      <c r="AK36" s="48" t="s">
        <v>1366</v>
      </c>
      <c r="AL36" s="198">
        <v>0</v>
      </c>
      <c r="AM36" s="234">
        <f t="shared" si="7"/>
        <v>0</v>
      </c>
      <c r="AO36" s="64"/>
      <c r="AP36" s="48" t="s">
        <v>1366</v>
      </c>
      <c r="AQ36" s="198">
        <v>0</v>
      </c>
      <c r="AR36" s="234">
        <f t="shared" si="8"/>
        <v>0</v>
      </c>
      <c r="AT36" s="216"/>
      <c r="AZ36" s="4"/>
      <c r="BA36" s="216"/>
      <c r="BB36" s="216"/>
      <c r="BC36" s="216"/>
      <c r="BD36" s="229"/>
      <c r="BF36" s="4"/>
      <c r="BG36" s="216"/>
    </row>
    <row r="37" spans="1:59">
      <c r="A37" s="251" t="s">
        <v>1472</v>
      </c>
      <c r="B37" s="48" t="s">
        <v>1386</v>
      </c>
      <c r="C37" s="198">
        <v>0</v>
      </c>
      <c r="D37" s="234">
        <f t="shared" si="0"/>
        <v>0</v>
      </c>
      <c r="F37" s="251" t="s">
        <v>1472</v>
      </c>
      <c r="G37" s="48" t="s">
        <v>1386</v>
      </c>
      <c r="H37" s="198">
        <v>0</v>
      </c>
      <c r="I37" s="234">
        <f>SUM(H37)</f>
        <v>0</v>
      </c>
      <c r="K37" s="251" t="s">
        <v>1472</v>
      </c>
      <c r="L37" s="48" t="s">
        <v>1386</v>
      </c>
      <c r="M37" s="198">
        <v>0</v>
      </c>
      <c r="N37" s="234">
        <f>SUM(M37)</f>
        <v>0</v>
      </c>
      <c r="P37" s="251" t="s">
        <v>1472</v>
      </c>
      <c r="Q37" s="48" t="s">
        <v>1386</v>
      </c>
      <c r="R37" s="198">
        <v>0</v>
      </c>
      <c r="S37" s="234">
        <f>SUM(R37)</f>
        <v>0</v>
      </c>
      <c r="U37" s="251" t="s">
        <v>1472</v>
      </c>
      <c r="V37" s="48" t="s">
        <v>1386</v>
      </c>
      <c r="W37" s="198">
        <v>0</v>
      </c>
      <c r="X37" s="234">
        <f>SUM(W37)</f>
        <v>0</v>
      </c>
      <c r="Z37" s="251" t="s">
        <v>1472</v>
      </c>
      <c r="AA37" s="48" t="s">
        <v>1386</v>
      </c>
      <c r="AB37" s="198">
        <v>0</v>
      </c>
      <c r="AC37" s="234">
        <f>SUM(AB37)</f>
        <v>0</v>
      </c>
      <c r="AE37" s="251" t="s">
        <v>1472</v>
      </c>
      <c r="AF37" s="48" t="s">
        <v>1386</v>
      </c>
      <c r="AG37" s="198">
        <v>0</v>
      </c>
      <c r="AH37" s="234">
        <f>SUM(AG37)</f>
        <v>0</v>
      </c>
      <c r="AJ37" s="251" t="s">
        <v>1472</v>
      </c>
      <c r="AK37" s="48" t="s">
        <v>1386</v>
      </c>
      <c r="AL37" s="198">
        <v>0</v>
      </c>
      <c r="AM37" s="234">
        <f>SUM(AL37)</f>
        <v>0</v>
      </c>
      <c r="AO37" s="251" t="s">
        <v>1472</v>
      </c>
      <c r="AP37" s="48" t="s">
        <v>1386</v>
      </c>
      <c r="AQ37" s="198">
        <v>0</v>
      </c>
      <c r="AR37" s="234">
        <f>SUM(AQ37)</f>
        <v>0</v>
      </c>
      <c r="AT37" s="216"/>
      <c r="AZ37" s="4"/>
      <c r="BA37" s="216"/>
      <c r="BB37" s="216"/>
      <c r="BC37" s="216"/>
      <c r="BD37" s="10"/>
      <c r="BF37" s="4"/>
      <c r="BG37" s="216"/>
    </row>
    <row r="38" spans="1:59">
      <c r="A38" s="251"/>
      <c r="B38" s="48" t="s">
        <v>1387</v>
      </c>
      <c r="C38" s="198">
        <v>0</v>
      </c>
      <c r="D38" s="234">
        <f t="shared" si="0"/>
        <v>0</v>
      </c>
      <c r="F38" s="251"/>
      <c r="G38" s="48" t="s">
        <v>1387</v>
      </c>
      <c r="H38" s="198">
        <v>0</v>
      </c>
      <c r="I38" s="234">
        <f>SUM(H38)</f>
        <v>0</v>
      </c>
      <c r="K38" s="251"/>
      <c r="L38" s="48" t="s">
        <v>1387</v>
      </c>
      <c r="M38" s="198">
        <v>0</v>
      </c>
      <c r="N38" s="234">
        <f>SUM(M38)</f>
        <v>0</v>
      </c>
      <c r="P38" s="251"/>
      <c r="Q38" s="48" t="s">
        <v>1387</v>
      </c>
      <c r="R38" s="198">
        <v>0</v>
      </c>
      <c r="S38" s="234">
        <f>SUM(R38)</f>
        <v>0</v>
      </c>
      <c r="U38" s="251"/>
      <c r="V38" s="48" t="s">
        <v>1387</v>
      </c>
      <c r="W38" s="198">
        <v>0</v>
      </c>
      <c r="X38" s="234">
        <f>SUM(W38)</f>
        <v>0</v>
      </c>
      <c r="Z38" s="251"/>
      <c r="AA38" s="48" t="s">
        <v>1387</v>
      </c>
      <c r="AB38" s="198">
        <v>0</v>
      </c>
      <c r="AC38" s="234">
        <f>SUM(AB38)</f>
        <v>0</v>
      </c>
      <c r="AE38" s="251"/>
      <c r="AF38" s="48" t="s">
        <v>1387</v>
      </c>
      <c r="AG38" s="198">
        <v>0</v>
      </c>
      <c r="AH38" s="234">
        <f>SUM(AG38)</f>
        <v>0</v>
      </c>
      <c r="AJ38" s="251"/>
      <c r="AK38" s="48" t="s">
        <v>1387</v>
      </c>
      <c r="AL38" s="198">
        <v>0</v>
      </c>
      <c r="AM38" s="234">
        <f>SUM(AL38)</f>
        <v>0</v>
      </c>
      <c r="AO38" s="251"/>
      <c r="AP38" s="48" t="s">
        <v>1387</v>
      </c>
      <c r="AQ38" s="198">
        <v>0</v>
      </c>
      <c r="AR38" s="234">
        <f>SUM(AQ38)</f>
        <v>0</v>
      </c>
      <c r="AT38" s="216"/>
      <c r="AZ38" s="4"/>
      <c r="BA38" s="216"/>
      <c r="BB38" s="216"/>
      <c r="BC38" s="216"/>
      <c r="BD38" s="10"/>
      <c r="BF38" s="4"/>
      <c r="BG38" s="216"/>
    </row>
    <row r="39" spans="1:59">
      <c r="A39" s="251"/>
      <c r="B39" s="48" t="s">
        <v>1388</v>
      </c>
      <c r="C39" s="198">
        <v>0</v>
      </c>
      <c r="D39" s="234">
        <v>0</v>
      </c>
      <c r="F39" s="251"/>
      <c r="G39" s="48" t="s">
        <v>1388</v>
      </c>
      <c r="H39" s="198">
        <v>0</v>
      </c>
      <c r="I39" s="234">
        <f>SUM(H39)</f>
        <v>0</v>
      </c>
      <c r="K39" s="251"/>
      <c r="L39" s="48" t="s">
        <v>1388</v>
      </c>
      <c r="M39" s="198">
        <v>0</v>
      </c>
      <c r="N39" s="234">
        <f>SUM(M39)</f>
        <v>0</v>
      </c>
      <c r="P39" s="251"/>
      <c r="Q39" s="48" t="s">
        <v>1388</v>
      </c>
      <c r="R39" s="198">
        <v>0</v>
      </c>
      <c r="S39" s="234">
        <f>SUM(R39)</f>
        <v>0</v>
      </c>
      <c r="U39" s="251"/>
      <c r="V39" s="48" t="s">
        <v>1388</v>
      </c>
      <c r="W39" s="198">
        <v>0</v>
      </c>
      <c r="X39" s="234">
        <f>SUM(W39)</f>
        <v>0</v>
      </c>
      <c r="Z39" s="251"/>
      <c r="AA39" s="48" t="s">
        <v>1388</v>
      </c>
      <c r="AB39" s="198">
        <v>0</v>
      </c>
      <c r="AC39" s="234">
        <f>SUM(AB39)</f>
        <v>0</v>
      </c>
      <c r="AE39" s="251"/>
      <c r="AF39" s="48" t="s">
        <v>1388</v>
      </c>
      <c r="AG39" s="198">
        <v>0</v>
      </c>
      <c r="AH39" s="234">
        <f>SUM(AG39)</f>
        <v>0</v>
      </c>
      <c r="AJ39" s="251"/>
      <c r="AK39" s="48" t="s">
        <v>1388</v>
      </c>
      <c r="AL39" s="198">
        <v>0</v>
      </c>
      <c r="AM39" s="234">
        <f>SUM(AL39)</f>
        <v>0</v>
      </c>
      <c r="AO39" s="251"/>
      <c r="AP39" s="48" t="s">
        <v>1388</v>
      </c>
      <c r="AQ39" s="198">
        <v>0</v>
      </c>
      <c r="AR39" s="234">
        <f>SUM(AQ39)</f>
        <v>0</v>
      </c>
      <c r="AT39" s="216"/>
      <c r="AZ39" s="4"/>
      <c r="BA39" s="216"/>
      <c r="BB39" s="216"/>
      <c r="BC39" s="216"/>
      <c r="BD39" s="10"/>
      <c r="BF39" s="4"/>
      <c r="BG39" s="216"/>
    </row>
    <row r="40" spans="1:59" ht="79.5" customHeight="1">
      <c r="A40" s="252"/>
      <c r="B40" s="230" t="s">
        <v>1512</v>
      </c>
      <c r="C40" s="198">
        <f>SUM(D11:D14)</f>
        <v>238.45000000000002</v>
      </c>
      <c r="D40" s="234">
        <f t="shared" ref="D40:D41" si="18">SUM(C40)</f>
        <v>238.45000000000002</v>
      </c>
      <c r="F40" s="252"/>
      <c r="G40" s="230" t="s">
        <v>1511</v>
      </c>
      <c r="H40" s="198">
        <f>SUM(I11:I14)</f>
        <v>184.5</v>
      </c>
      <c r="I40" s="234">
        <f t="shared" ref="I40:I41" si="19">SUM(H40)</f>
        <v>184.5</v>
      </c>
      <c r="K40" s="252"/>
      <c r="L40" s="230" t="s">
        <v>1513</v>
      </c>
      <c r="M40" s="198">
        <f>SUM(N11:N14)</f>
        <v>271.14999999999998</v>
      </c>
      <c r="N40" s="234">
        <f t="shared" ref="N40:N41" si="20">SUM(M40)</f>
        <v>271.14999999999998</v>
      </c>
      <c r="P40" s="252"/>
      <c r="Q40" s="230" t="s">
        <v>1514</v>
      </c>
      <c r="R40" s="198">
        <f>SUM(S11:S14)</f>
        <v>0</v>
      </c>
      <c r="S40" s="234">
        <f t="shared" ref="S40:S41" si="21">SUM(R40)</f>
        <v>0</v>
      </c>
      <c r="U40" s="252"/>
      <c r="V40" s="230" t="s">
        <v>1508</v>
      </c>
      <c r="W40" s="198">
        <f>SUM(X11:X14)</f>
        <v>268.14999999999998</v>
      </c>
      <c r="X40" s="234">
        <f t="shared" ref="X40:X41" si="22">SUM(W40)</f>
        <v>268.14999999999998</v>
      </c>
      <c r="Z40" s="252"/>
      <c r="AA40" s="230" t="s">
        <v>1515</v>
      </c>
      <c r="AB40" s="198">
        <f>SUM(AC11:AC14)</f>
        <v>7.5</v>
      </c>
      <c r="AC40" s="234">
        <f t="shared" ref="AC40:AC41" si="23">SUM(AB40)</f>
        <v>7.5</v>
      </c>
      <c r="AE40" s="252"/>
      <c r="AF40" s="230" t="s">
        <v>1509</v>
      </c>
      <c r="AG40" s="198">
        <f>SUM(AH11:AH14)</f>
        <v>702.62999999999977</v>
      </c>
      <c r="AH40" s="234">
        <f t="shared" ref="AH40:AH41" si="24">SUM(AG40)</f>
        <v>702.62999999999977</v>
      </c>
      <c r="AJ40" s="252"/>
      <c r="AK40" s="230" t="s">
        <v>1510</v>
      </c>
      <c r="AL40" s="198">
        <f>SUM(AM11:AM14)</f>
        <v>121.41</v>
      </c>
      <c r="AM40" s="234">
        <f t="shared" ref="AM40:AM41" si="25">SUM(AL40)</f>
        <v>121.41</v>
      </c>
      <c r="AO40" s="252"/>
      <c r="AP40" s="230" t="s">
        <v>1507</v>
      </c>
      <c r="AQ40" s="198">
        <f>SUM(AR11:AR14)</f>
        <v>1264.82</v>
      </c>
      <c r="AR40" s="234">
        <f t="shared" ref="AR40:AR41" si="26">SUM(AQ40)</f>
        <v>1264.82</v>
      </c>
      <c r="AT40" s="216"/>
      <c r="AZ40" s="4"/>
      <c r="BA40" s="216"/>
      <c r="BB40" s="216"/>
      <c r="BC40" s="216"/>
      <c r="BD40" s="10"/>
      <c r="BE40" s="244"/>
      <c r="BF40" s="4"/>
      <c r="BG40" s="216"/>
    </row>
    <row r="41" spans="1:59">
      <c r="A41" s="96" t="s">
        <v>1373</v>
      </c>
      <c r="B41" s="48"/>
      <c r="C41" s="48">
        <f>SUM(D15:D27)</f>
        <v>9.57</v>
      </c>
      <c r="D41" s="234">
        <f t="shared" si="18"/>
        <v>9.57</v>
      </c>
      <c r="F41" s="96" t="s">
        <v>1373</v>
      </c>
      <c r="G41" s="48"/>
      <c r="H41" s="48">
        <f>SUM(I15:I27)</f>
        <v>88.2</v>
      </c>
      <c r="I41" s="234">
        <f t="shared" si="19"/>
        <v>88.2</v>
      </c>
      <c r="K41" s="96" t="s">
        <v>1373</v>
      </c>
      <c r="L41" s="48"/>
      <c r="M41" s="48">
        <f>SUM(N15:N27)</f>
        <v>462.59999999999991</v>
      </c>
      <c r="N41" s="234">
        <f t="shared" si="20"/>
        <v>462.59999999999991</v>
      </c>
      <c r="P41" s="96" t="s">
        <v>1373</v>
      </c>
      <c r="Q41" s="48"/>
      <c r="R41" s="48">
        <f>SUM(S15:S27)</f>
        <v>403.2</v>
      </c>
      <c r="S41" s="234">
        <f t="shared" si="21"/>
        <v>403.2</v>
      </c>
      <c r="U41" s="96" t="s">
        <v>1373</v>
      </c>
      <c r="V41" s="48"/>
      <c r="W41" s="48">
        <f>SUM(X15:X27)</f>
        <v>437.73</v>
      </c>
      <c r="X41" s="234">
        <f t="shared" si="22"/>
        <v>437.73</v>
      </c>
      <c r="Z41" s="96" t="s">
        <v>1373</v>
      </c>
      <c r="AA41" s="48"/>
      <c r="AB41" s="48">
        <f>SUM(AC15:AC27)</f>
        <v>339.37</v>
      </c>
      <c r="AC41" s="234">
        <f t="shared" si="23"/>
        <v>339.37</v>
      </c>
      <c r="AE41" s="96" t="s">
        <v>1373</v>
      </c>
      <c r="AF41" s="48"/>
      <c r="AG41" s="48">
        <f>SUM(AH15:AH27)</f>
        <v>2005.5599999999995</v>
      </c>
      <c r="AH41" s="234">
        <f t="shared" si="24"/>
        <v>2005.5599999999995</v>
      </c>
      <c r="AJ41" s="96" t="s">
        <v>1373</v>
      </c>
      <c r="AK41" s="48"/>
      <c r="AL41" s="48">
        <f>SUM(AM15:AM27)</f>
        <v>551.46</v>
      </c>
      <c r="AM41" s="234">
        <f t="shared" si="25"/>
        <v>551.46</v>
      </c>
      <c r="AO41" s="96" t="s">
        <v>1373</v>
      </c>
      <c r="AP41" s="48"/>
      <c r="AQ41" s="48">
        <f>SUM(AR15:AR27)</f>
        <v>0</v>
      </c>
      <c r="AR41" s="234">
        <f t="shared" si="26"/>
        <v>0</v>
      </c>
      <c r="AT41" s="216"/>
      <c r="BA41" s="216"/>
      <c r="BB41" s="216"/>
      <c r="BC41" s="216"/>
      <c r="BD41" s="240"/>
      <c r="BG41" s="216"/>
    </row>
    <row r="43" spans="1:59">
      <c r="C43">
        <f>SUM(C32,C33,C35,C41,C40)</f>
        <v>377.75</v>
      </c>
      <c r="D43">
        <f>SUM(D32,D33,D35,D41,D40)</f>
        <v>377.75</v>
      </c>
      <c r="H43">
        <f>SUM(H32,H33,H35,H41,H40)</f>
        <v>292.89999999999998</v>
      </c>
      <c r="I43">
        <f>SUM(I32,I33,I35,I41,I40)</f>
        <v>292.89999999999998</v>
      </c>
      <c r="M43">
        <f>SUM(M32,M33,M35,M41,M40)</f>
        <v>844.43</v>
      </c>
      <c r="N43">
        <f>SUM(N32,N33,N35,N41,N40)</f>
        <v>844.43</v>
      </c>
      <c r="R43">
        <f>SUM(R32,R33,R35,R41,R40)</f>
        <v>464.40999999999997</v>
      </c>
      <c r="S43">
        <f>SUM(S32,S33,S35,S41,S40)</f>
        <v>464.40999999999997</v>
      </c>
      <c r="W43">
        <f>SUM(W32,W33,W35,W41,W40)</f>
        <v>754.68000000000006</v>
      </c>
      <c r="X43">
        <f>SUM(X32,X33,X35,X41,X40)</f>
        <v>754.68000000000006</v>
      </c>
      <c r="AB43">
        <f>SUM(AB32,AB33,AB35,AB41,AB40)</f>
        <v>395.97</v>
      </c>
      <c r="AC43">
        <f>SUM(AC32,AC33,AC35,AC41,AC40)</f>
        <v>395.97</v>
      </c>
      <c r="AG43">
        <f>SUM(AG32,AG33,AG35,AG41,AG40)</f>
        <v>3092.0899999999992</v>
      </c>
      <c r="AH43">
        <f>SUM(AH32,AH33,AH35,AH41,AH40)</f>
        <v>3092.0899999999992</v>
      </c>
      <c r="AL43">
        <f>SUM(AL32,AL33,AL35,AL41,AL40)</f>
        <v>712.48</v>
      </c>
      <c r="AM43">
        <f>SUM(AM32,AM33,AM35,AM41,AM40)</f>
        <v>712.48</v>
      </c>
      <c r="AQ43">
        <f>SUM(AQ32,AQ33,AQ35,AQ41,AQ40)</f>
        <v>1264.82</v>
      </c>
      <c r="AR43">
        <f>SUM(AR32,AR33,AR35,AR41,AR40)</f>
        <v>1264.82</v>
      </c>
    </row>
    <row r="45" spans="1:59" s="207" customFormat="1"/>
    <row r="47" spans="1:59">
      <c r="A47" s="795" t="s">
        <v>1516</v>
      </c>
      <c r="B47" s="795"/>
      <c r="C47" s="795"/>
      <c r="D47" s="795"/>
      <c r="E47" s="795"/>
      <c r="F47" s="795"/>
      <c r="G47" s="795"/>
      <c r="H47" s="795"/>
    </row>
    <row r="49" spans="1:14">
      <c r="B49" s="80"/>
      <c r="D49" s="795" t="s">
        <v>1390</v>
      </c>
      <c r="E49" s="795"/>
      <c r="F49" s="795"/>
      <c r="G49" s="248"/>
      <c r="H49" s="80"/>
    </row>
    <row r="50" spans="1:14">
      <c r="B50" s="80"/>
      <c r="D50" s="787" t="s">
        <v>1391</v>
      </c>
      <c r="E50" s="787"/>
      <c r="F50" s="787"/>
      <c r="G50" s="248"/>
      <c r="H50" s="80"/>
    </row>
    <row r="51" spans="1:14" ht="38.25">
      <c r="B51" s="202" t="s">
        <v>70</v>
      </c>
      <c r="D51" s="202" t="s">
        <v>1392</v>
      </c>
      <c r="E51" s="202" t="s">
        <v>1393</v>
      </c>
      <c r="F51" s="202" t="s">
        <v>1394</v>
      </c>
      <c r="G51" s="249" t="s">
        <v>1395</v>
      </c>
      <c r="H51" s="202" t="s">
        <v>1396</v>
      </c>
      <c r="J51" s="247" t="s">
        <v>1491</v>
      </c>
      <c r="N51" s="2"/>
    </row>
    <row r="52" spans="1:14">
      <c r="A52" s="246" t="s">
        <v>1490</v>
      </c>
      <c r="B52" s="171" t="s">
        <v>365</v>
      </c>
      <c r="C52" s="64" t="s">
        <v>249</v>
      </c>
      <c r="D52" s="16">
        <f>(E52+F52*0.5)</f>
        <v>27.5</v>
      </c>
      <c r="E52" s="16">
        <f>SUMIF('UFCA - CR'!$F$4:$F$18,C52,'UFCA - CR'!$K$4:$K$18)+3</f>
        <v>27</v>
      </c>
      <c r="F52" s="176">
        <v>1</v>
      </c>
      <c r="G52" s="13">
        <f>2+3+1</f>
        <v>6</v>
      </c>
      <c r="H52" s="13">
        <v>0</v>
      </c>
      <c r="J52" t="s">
        <v>1401</v>
      </c>
    </row>
    <row r="53" spans="1:14">
      <c r="C53" s="203" t="s">
        <v>563</v>
      </c>
      <c r="D53" s="204">
        <f>SUM(D52:D52)</f>
        <v>27.5</v>
      </c>
      <c r="E53" s="204">
        <f t="shared" ref="E53:G53" si="27">SUM(E52:E52)</f>
        <v>27</v>
      </c>
      <c r="F53" s="204">
        <f t="shared" si="27"/>
        <v>1</v>
      </c>
      <c r="G53" s="204">
        <f t="shared" si="27"/>
        <v>6</v>
      </c>
      <c r="H53" s="204">
        <f>SUM(H52:H52)</f>
        <v>0</v>
      </c>
      <c r="J53" t="s">
        <v>1533</v>
      </c>
      <c r="N53" s="2"/>
    </row>
    <row r="54" spans="1:14">
      <c r="G54" s="213"/>
    </row>
    <row r="55" spans="1:14">
      <c r="B55" s="80"/>
      <c r="D55" s="795" t="s">
        <v>1390</v>
      </c>
      <c r="E55" s="795"/>
      <c r="F55" s="795"/>
      <c r="G55" s="248"/>
      <c r="H55" s="80"/>
    </row>
    <row r="56" spans="1:14">
      <c r="B56" s="80"/>
      <c r="D56" s="787" t="s">
        <v>1391</v>
      </c>
      <c r="E56" s="787"/>
      <c r="F56" s="787"/>
      <c r="G56" s="248"/>
      <c r="H56" s="80"/>
    </row>
    <row r="57" spans="1:14" ht="38.25">
      <c r="B57" s="202" t="s">
        <v>70</v>
      </c>
      <c r="D57" s="202" t="s">
        <v>1392</v>
      </c>
      <c r="E57" s="202" t="s">
        <v>1393</v>
      </c>
      <c r="F57" s="202" t="s">
        <v>1394</v>
      </c>
      <c r="G57" s="249" t="s">
        <v>1395</v>
      </c>
      <c r="H57" s="202" t="s">
        <v>1396</v>
      </c>
    </row>
    <row r="58" spans="1:14">
      <c r="A58" s="246" t="s">
        <v>918</v>
      </c>
      <c r="B58" s="171" t="s">
        <v>251</v>
      </c>
      <c r="C58" s="64" t="s">
        <v>249</v>
      </c>
      <c r="D58" s="16">
        <f>(E58+F58*0.5)</f>
        <v>0.5</v>
      </c>
      <c r="E58" s="16">
        <f>SUMIF('UFCA - CR'!$F$19:$F$28,C58,'UFCA - CR'!$K$19:$K$28)</f>
        <v>0</v>
      </c>
      <c r="F58" s="176">
        <v>1</v>
      </c>
      <c r="G58" s="13">
        <f>2+1</f>
        <v>3</v>
      </c>
      <c r="H58" s="13">
        <v>0</v>
      </c>
      <c r="J58" t="s">
        <v>1401</v>
      </c>
    </row>
    <row r="59" spans="1:14">
      <c r="C59" s="203" t="s">
        <v>563</v>
      </c>
      <c r="D59" s="204">
        <f>SUM(D58:D58)</f>
        <v>0.5</v>
      </c>
      <c r="E59" s="204">
        <f t="shared" ref="E59:G59" si="28">SUM(E58:E58)</f>
        <v>0</v>
      </c>
      <c r="F59" s="204">
        <f t="shared" si="28"/>
        <v>1</v>
      </c>
      <c r="G59" s="204">
        <f t="shared" si="28"/>
        <v>3</v>
      </c>
      <c r="H59" s="204">
        <f>SUM(H58:H58)</f>
        <v>0</v>
      </c>
      <c r="J59" t="s">
        <v>1445</v>
      </c>
    </row>
    <row r="60" spans="1:14">
      <c r="G60" s="213"/>
    </row>
    <row r="61" spans="1:14">
      <c r="B61" s="80"/>
      <c r="D61" s="795" t="s">
        <v>1390</v>
      </c>
      <c r="E61" s="795"/>
      <c r="F61" s="795"/>
      <c r="G61" s="248"/>
      <c r="H61" s="80"/>
    </row>
    <row r="62" spans="1:14">
      <c r="B62" s="80"/>
      <c r="D62" s="787" t="s">
        <v>1391</v>
      </c>
      <c r="E62" s="787"/>
      <c r="F62" s="787"/>
      <c r="G62" s="248"/>
      <c r="H62" s="80"/>
    </row>
    <row r="63" spans="1:14" ht="38.25">
      <c r="B63" s="202" t="s">
        <v>70</v>
      </c>
      <c r="D63" s="202" t="s">
        <v>1392</v>
      </c>
      <c r="E63" s="202" t="s">
        <v>1393</v>
      </c>
      <c r="F63" s="202" t="s">
        <v>1394</v>
      </c>
      <c r="G63" s="249" t="s">
        <v>1395</v>
      </c>
      <c r="H63" s="202" t="s">
        <v>1396</v>
      </c>
    </row>
    <row r="64" spans="1:14">
      <c r="A64" s="246" t="s">
        <v>1478</v>
      </c>
      <c r="B64" s="171" t="s">
        <v>372</v>
      </c>
      <c r="C64" s="64" t="s">
        <v>249</v>
      </c>
      <c r="D64" s="16">
        <f>(E64+F64*0.5)</f>
        <v>0</v>
      </c>
      <c r="E64" s="16">
        <f>SUMIF('UFCA - CR'!$F$29:$F$51,C64,'UFCA - CR'!$K$29:$K$51)</f>
        <v>0</v>
      </c>
      <c r="F64" s="176">
        <v>0</v>
      </c>
      <c r="G64" s="13">
        <f>2+1</f>
        <v>3</v>
      </c>
      <c r="H64" s="13">
        <v>0</v>
      </c>
      <c r="J64" t="s">
        <v>1445</v>
      </c>
    </row>
    <row r="65" spans="1:10">
      <c r="C65" s="203" t="s">
        <v>563</v>
      </c>
      <c r="D65" s="204">
        <f>SUM(D64:D64)</f>
        <v>0</v>
      </c>
      <c r="E65" s="204">
        <f t="shared" ref="E65:G65" si="29">SUM(E64:E64)</f>
        <v>0</v>
      </c>
      <c r="F65" s="204">
        <f t="shared" si="29"/>
        <v>0</v>
      </c>
      <c r="G65" s="204">
        <f t="shared" si="29"/>
        <v>3</v>
      </c>
      <c r="H65" s="204">
        <f>SUM(H64:H64)</f>
        <v>0</v>
      </c>
    </row>
    <row r="66" spans="1:10">
      <c r="G66" s="213"/>
    </row>
    <row r="67" spans="1:10">
      <c r="B67" s="80"/>
      <c r="D67" s="795" t="s">
        <v>1390</v>
      </c>
      <c r="E67" s="795"/>
      <c r="F67" s="795"/>
      <c r="G67" s="248"/>
      <c r="H67" s="80"/>
    </row>
    <row r="68" spans="1:10">
      <c r="B68" s="80"/>
      <c r="D68" s="787" t="s">
        <v>1391</v>
      </c>
      <c r="E68" s="787"/>
      <c r="F68" s="787"/>
      <c r="G68" s="248"/>
      <c r="H68" s="80"/>
    </row>
    <row r="69" spans="1:10" ht="38.25">
      <c r="B69" s="202" t="s">
        <v>70</v>
      </c>
      <c r="D69" s="202" t="s">
        <v>1392</v>
      </c>
      <c r="E69" s="202" t="s">
        <v>1393</v>
      </c>
      <c r="F69" s="202" t="s">
        <v>1394</v>
      </c>
      <c r="G69" s="249" t="s">
        <v>1395</v>
      </c>
      <c r="H69" s="202" t="s">
        <v>1396</v>
      </c>
    </row>
    <row r="70" spans="1:10">
      <c r="A70" s="246" t="s">
        <v>201</v>
      </c>
      <c r="B70" s="171" t="s">
        <v>255</v>
      </c>
      <c r="C70" s="64" t="s">
        <v>249</v>
      </c>
      <c r="D70" s="16">
        <f ca="1">(E70+F70*0.5)</f>
        <v>0</v>
      </c>
      <c r="E70" s="16">
        <f ca="1">SUMIF('UFCA - CR'!$F$52:$F$58,C70,'UFCA - CR'!$K$53:$K$58)</f>
        <v>0</v>
      </c>
      <c r="F70" s="176">
        <v>0</v>
      </c>
      <c r="G70" s="13">
        <f>2+1</f>
        <v>3</v>
      </c>
      <c r="H70" s="13">
        <v>0</v>
      </c>
      <c r="J70" t="s">
        <v>1445</v>
      </c>
    </row>
    <row r="71" spans="1:10">
      <c r="C71" s="203" t="s">
        <v>563</v>
      </c>
      <c r="D71" s="204">
        <f ca="1">SUM(D70:D70)</f>
        <v>0</v>
      </c>
      <c r="E71" s="204">
        <f t="shared" ref="E71" ca="1" si="30">SUM(E70:E70)</f>
        <v>0</v>
      </c>
      <c r="F71" s="204">
        <f t="shared" ref="F71" si="31">SUM(F70:F70)</f>
        <v>0</v>
      </c>
      <c r="G71" s="204">
        <f t="shared" ref="G71" si="32">SUM(G70:G70)</f>
        <v>3</v>
      </c>
      <c r="H71" s="204">
        <f>SUM(H70:H70)</f>
        <v>0</v>
      </c>
    </row>
    <row r="72" spans="1:10">
      <c r="G72" s="213"/>
    </row>
    <row r="73" spans="1:10">
      <c r="B73" s="80"/>
      <c r="D73" s="795" t="s">
        <v>1390</v>
      </c>
      <c r="E73" s="795"/>
      <c r="F73" s="795"/>
      <c r="G73" s="248"/>
      <c r="H73" s="80"/>
    </row>
    <row r="74" spans="1:10">
      <c r="B74" s="80"/>
      <c r="D74" s="787" t="s">
        <v>1391</v>
      </c>
      <c r="E74" s="787"/>
      <c r="F74" s="787"/>
      <c r="G74" s="248"/>
      <c r="H74" s="80"/>
    </row>
    <row r="75" spans="1:10" ht="38.25">
      <c r="B75" s="202" t="s">
        <v>70</v>
      </c>
      <c r="D75" s="202" t="s">
        <v>1392</v>
      </c>
      <c r="E75" s="202" t="s">
        <v>1393</v>
      </c>
      <c r="F75" s="202" t="s">
        <v>1394</v>
      </c>
      <c r="G75" s="249" t="s">
        <v>1395</v>
      </c>
      <c r="H75" s="202" t="s">
        <v>1396</v>
      </c>
    </row>
    <row r="76" spans="1:10">
      <c r="A76" s="246" t="s">
        <v>1477</v>
      </c>
      <c r="B76" s="171" t="s">
        <v>375</v>
      </c>
      <c r="C76" s="64" t="s">
        <v>249</v>
      </c>
      <c r="D76" s="16">
        <f>(E76+F76*0.5)</f>
        <v>0</v>
      </c>
      <c r="E76" s="16">
        <f>SUMIF('UFCA - CR'!$F$59:$F$71,C76,'UFCA - CR'!$K$59:$K$71)</f>
        <v>0</v>
      </c>
      <c r="F76" s="176">
        <v>0</v>
      </c>
      <c r="G76" s="13">
        <f>2+1</f>
        <v>3</v>
      </c>
      <c r="H76" s="13">
        <v>0</v>
      </c>
      <c r="J76" t="s">
        <v>1445</v>
      </c>
    </row>
    <row r="77" spans="1:10">
      <c r="C77" s="203" t="s">
        <v>563</v>
      </c>
      <c r="D77" s="204">
        <f>SUM(D76:D76)</f>
        <v>0</v>
      </c>
      <c r="E77" s="204">
        <f t="shared" ref="E77" si="33">SUM(E76:E76)</f>
        <v>0</v>
      </c>
      <c r="F77" s="204">
        <f t="shared" ref="F77" si="34">SUM(F76:F76)</f>
        <v>0</v>
      </c>
      <c r="G77" s="204">
        <f t="shared" ref="G77" si="35">SUM(G76:G76)</f>
        <v>3</v>
      </c>
      <c r="H77" s="204">
        <f>SUM(H76:H76)</f>
        <v>0</v>
      </c>
    </row>
    <row r="79" spans="1:10">
      <c r="B79" s="80"/>
      <c r="D79" s="795" t="s">
        <v>1390</v>
      </c>
      <c r="E79" s="795"/>
      <c r="F79" s="795"/>
      <c r="G79" s="80"/>
      <c r="H79" s="80"/>
    </row>
    <row r="80" spans="1:10">
      <c r="B80" s="80"/>
      <c r="D80" s="787" t="s">
        <v>1391</v>
      </c>
      <c r="E80" s="787"/>
      <c r="F80" s="787"/>
      <c r="G80" s="80"/>
      <c r="H80" s="80"/>
    </row>
    <row r="81" spans="1:10" ht="38.25">
      <c r="B81" s="202" t="s">
        <v>70</v>
      </c>
      <c r="D81" s="202" t="s">
        <v>1392</v>
      </c>
      <c r="E81" s="202" t="s">
        <v>1393</v>
      </c>
      <c r="F81" s="202" t="s">
        <v>1394</v>
      </c>
      <c r="G81" s="202" t="s">
        <v>1395</v>
      </c>
      <c r="H81" s="202" t="s">
        <v>1396</v>
      </c>
    </row>
    <row r="82" spans="1:10">
      <c r="A82" s="246" t="s">
        <v>210</v>
      </c>
      <c r="B82" s="171" t="s">
        <v>260</v>
      </c>
      <c r="C82" s="64" t="s">
        <v>249</v>
      </c>
      <c r="D82" s="16">
        <f>(E82+F82*0.5)</f>
        <v>3</v>
      </c>
      <c r="E82" s="16">
        <f>SUMIF('UFCA - CR'!$F$72:$F$79,C82,'UFCA - CR'!$K$72:$K$79)</f>
        <v>3</v>
      </c>
      <c r="F82" s="176">
        <v>0</v>
      </c>
      <c r="G82" s="13">
        <f>1+1</f>
        <v>2</v>
      </c>
      <c r="H82" s="13">
        <v>0</v>
      </c>
      <c r="J82" t="s">
        <v>1496</v>
      </c>
    </row>
    <row r="83" spans="1:10">
      <c r="C83" s="203" t="s">
        <v>563</v>
      </c>
      <c r="D83" s="204">
        <f>SUM(D82:D82)</f>
        <v>3</v>
      </c>
      <c r="E83" s="204">
        <f t="shared" ref="E83" si="36">SUM(E82:E82)</f>
        <v>3</v>
      </c>
      <c r="F83" s="204">
        <f t="shared" ref="F83" si="37">SUM(F82:F82)</f>
        <v>0</v>
      </c>
      <c r="G83" s="204">
        <f t="shared" ref="G83" si="38">SUM(G82:G82)</f>
        <v>2</v>
      </c>
      <c r="H83" s="204">
        <f>SUM(H82:H82)</f>
        <v>0</v>
      </c>
    </row>
    <row r="85" spans="1:10">
      <c r="B85" s="80"/>
      <c r="D85" s="795" t="s">
        <v>1390</v>
      </c>
      <c r="E85" s="795"/>
      <c r="F85" s="795"/>
      <c r="G85" s="80"/>
      <c r="H85" s="80"/>
    </row>
    <row r="86" spans="1:10">
      <c r="B86" s="80"/>
      <c r="D86" s="787" t="s">
        <v>1391</v>
      </c>
      <c r="E86" s="787"/>
      <c r="F86" s="787"/>
      <c r="G86" s="80"/>
      <c r="H86" s="80"/>
    </row>
    <row r="87" spans="1:10" ht="38.25">
      <c r="B87" s="202" t="s">
        <v>70</v>
      </c>
      <c r="D87" s="202" t="s">
        <v>1392</v>
      </c>
      <c r="E87" s="202" t="s">
        <v>1393</v>
      </c>
      <c r="F87" s="202" t="s">
        <v>1394</v>
      </c>
      <c r="G87" s="202" t="s">
        <v>1395</v>
      </c>
      <c r="H87" s="202" t="s">
        <v>1396</v>
      </c>
    </row>
    <row r="88" spans="1:10">
      <c r="A88" s="246" t="s">
        <v>1481</v>
      </c>
      <c r="B88" s="171" t="s">
        <v>376</v>
      </c>
      <c r="C88" s="64" t="s">
        <v>249</v>
      </c>
      <c r="D88" s="16">
        <f>(E88+F88*0.5)</f>
        <v>16</v>
      </c>
      <c r="E88" s="16">
        <f>SUMIF('UFCA - CR'!$F$80:$F$183,C88,'UFCA - CR'!$K$80:$K$183)</f>
        <v>15</v>
      </c>
      <c r="F88" s="176">
        <v>2</v>
      </c>
      <c r="G88" s="13">
        <f>4+1</f>
        <v>5</v>
      </c>
      <c r="H88" s="13">
        <v>0</v>
      </c>
      <c r="J88" t="s">
        <v>1492</v>
      </c>
    </row>
    <row r="89" spans="1:10">
      <c r="C89" s="203" t="s">
        <v>563</v>
      </c>
      <c r="D89" s="204">
        <f>SUM(D88:D88)</f>
        <v>16</v>
      </c>
      <c r="E89" s="204">
        <f t="shared" ref="E89" si="39">SUM(E88:E88)</f>
        <v>15</v>
      </c>
      <c r="F89" s="204">
        <f t="shared" ref="F89" si="40">SUM(F88:F88)</f>
        <v>2</v>
      </c>
      <c r="G89" s="204">
        <f t="shared" ref="G89" si="41">SUM(G88:G88)</f>
        <v>5</v>
      </c>
      <c r="H89" s="204">
        <f>SUM(H88:H88)</f>
        <v>0</v>
      </c>
      <c r="J89" t="s">
        <v>1493</v>
      </c>
    </row>
    <row r="91" spans="1:10">
      <c r="B91" s="80"/>
      <c r="D91" s="795" t="s">
        <v>1390</v>
      </c>
      <c r="E91" s="795"/>
      <c r="F91" s="795"/>
      <c r="G91" s="80"/>
      <c r="H91" s="80"/>
    </row>
    <row r="92" spans="1:10">
      <c r="B92" s="80"/>
      <c r="D92" s="787" t="s">
        <v>1391</v>
      </c>
      <c r="E92" s="787"/>
      <c r="F92" s="787"/>
      <c r="G92" s="80"/>
      <c r="H92" s="80"/>
    </row>
    <row r="93" spans="1:10" ht="38.25">
      <c r="B93" s="202" t="s">
        <v>70</v>
      </c>
      <c r="D93" s="202" t="s">
        <v>1392</v>
      </c>
      <c r="E93" s="202" t="s">
        <v>1393</v>
      </c>
      <c r="F93" s="202" t="s">
        <v>1394</v>
      </c>
      <c r="G93" s="202" t="s">
        <v>1395</v>
      </c>
      <c r="H93" s="202" t="s">
        <v>1396</v>
      </c>
    </row>
    <row r="94" spans="1:10">
      <c r="A94" s="246" t="s">
        <v>1504</v>
      </c>
      <c r="B94" s="171" t="s">
        <v>1504</v>
      </c>
      <c r="C94" s="64" t="s">
        <v>249</v>
      </c>
      <c r="D94" s="16">
        <f>(E94+F94*0.5)</f>
        <v>0</v>
      </c>
      <c r="E94" s="16">
        <v>0</v>
      </c>
      <c r="F94" s="176">
        <v>0</v>
      </c>
      <c r="G94" s="13">
        <f>1</f>
        <v>1</v>
      </c>
      <c r="H94" s="13">
        <v>0</v>
      </c>
      <c r="J94" t="s">
        <v>1496</v>
      </c>
    </row>
    <row r="95" spans="1:10">
      <c r="C95" s="203" t="s">
        <v>563</v>
      </c>
      <c r="D95" s="204">
        <f>SUM(D94:D94)</f>
        <v>0</v>
      </c>
      <c r="E95" s="204">
        <f t="shared" ref="E95:G95" si="42">SUM(E94:E94)</f>
        <v>0</v>
      </c>
      <c r="F95" s="204">
        <f t="shared" si="42"/>
        <v>0</v>
      </c>
      <c r="G95" s="204">
        <f t="shared" si="42"/>
        <v>1</v>
      </c>
      <c r="H95" s="204">
        <f>SUM(H94:H94)</f>
        <v>0</v>
      </c>
    </row>
  </sheetData>
  <mergeCells count="25">
    <mergeCell ref="D91:F91"/>
    <mergeCell ref="D92:F92"/>
    <mergeCell ref="AO1:AR1"/>
    <mergeCell ref="A47:H47"/>
    <mergeCell ref="D79:F79"/>
    <mergeCell ref="D80:F80"/>
    <mergeCell ref="D85:F85"/>
    <mergeCell ref="K1:N1"/>
    <mergeCell ref="A1:D1"/>
    <mergeCell ref="F1:I1"/>
    <mergeCell ref="U1:X1"/>
    <mergeCell ref="Z1:AC1"/>
    <mergeCell ref="AE1:AH1"/>
    <mergeCell ref="AJ1:AM1"/>
    <mergeCell ref="D86:F86"/>
    <mergeCell ref="D49:F49"/>
    <mergeCell ref="D67:F67"/>
    <mergeCell ref="D68:F68"/>
    <mergeCell ref="D73:F73"/>
    <mergeCell ref="D74:F74"/>
    <mergeCell ref="D50:F50"/>
    <mergeCell ref="D55:F55"/>
    <mergeCell ref="D56:F56"/>
    <mergeCell ref="D61:F61"/>
    <mergeCell ref="D62:F62"/>
  </mergeCells>
  <pageMargins left="0.511811024" right="0.511811024" top="0.78740157499999996" bottom="0.78740157499999996" header="0.31496062000000002" footer="0.31496062000000002"/>
  <pageSetup paperSize="9" scale="10" orientation="portrait" r:id="rId1"/>
  <rowBreaks count="1" manualBreakCount="1">
    <brk id="66" max="4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F97A0-E433-4755-A942-F5F6D18F1ABD}">
  <sheetPr>
    <tabColor theme="5" tint="0.59999389629810485"/>
    <pageSetUpPr fitToPage="1"/>
  </sheetPr>
  <dimension ref="A1:AO105"/>
  <sheetViews>
    <sheetView workbookViewId="0">
      <pane xSplit="1" topLeftCell="B1" activePane="topRight" state="frozen"/>
      <selection activeCell="E184" sqref="E184"/>
      <selection pane="topRight" activeCell="E184" sqref="E184"/>
    </sheetView>
  </sheetViews>
  <sheetFormatPr defaultRowHeight="15"/>
  <cols>
    <col min="1" max="1" width="15" customWidth="1"/>
    <col min="2" max="2" width="24.42578125" bestFit="1" customWidth="1"/>
    <col min="3" max="3" width="19.28515625" customWidth="1"/>
    <col min="4" max="4" width="18.140625" bestFit="1" customWidth="1"/>
    <col min="5" max="5" width="12.85546875" customWidth="1"/>
    <col min="6" max="6" width="12.28515625" customWidth="1"/>
    <col min="7" max="7" width="11.5703125" customWidth="1"/>
    <col min="8" max="8" width="16.140625" customWidth="1"/>
  </cols>
  <sheetData>
    <row r="1" spans="1:40">
      <c r="A1" s="629" t="s">
        <v>874</v>
      </c>
      <c r="B1" s="630"/>
      <c r="C1" s="630"/>
      <c r="D1" s="631"/>
      <c r="E1" s="219"/>
      <c r="F1" s="219"/>
      <c r="G1" s="219"/>
      <c r="I1" s="805"/>
      <c r="J1" s="805"/>
      <c r="K1" s="805"/>
      <c r="N1" s="805"/>
      <c r="O1" s="805"/>
      <c r="P1" s="805"/>
      <c r="S1" s="805"/>
      <c r="T1" s="805"/>
      <c r="U1" s="805"/>
      <c r="X1" s="805"/>
      <c r="Y1" s="805"/>
      <c r="Z1" s="805"/>
      <c r="AC1" s="805"/>
      <c r="AD1" s="805"/>
      <c r="AE1" s="805"/>
      <c r="AH1" s="805"/>
      <c r="AI1" s="805"/>
      <c r="AJ1" s="805"/>
      <c r="AM1" s="805"/>
      <c r="AN1" s="805"/>
    </row>
    <row r="2" spans="1:40" ht="30">
      <c r="A2" s="232" t="s">
        <v>1469</v>
      </c>
      <c r="B2" s="18">
        <v>4752.82</v>
      </c>
      <c r="C2" s="232" t="s">
        <v>1470</v>
      </c>
      <c r="D2" s="194">
        <v>2472.3200000000002</v>
      </c>
      <c r="E2" s="219"/>
      <c r="F2" s="219"/>
      <c r="G2" s="219"/>
      <c r="I2" s="86"/>
      <c r="J2" s="86"/>
      <c r="K2" s="86"/>
      <c r="N2" s="86"/>
      <c r="O2" s="86"/>
      <c r="P2" s="86"/>
      <c r="S2" s="86"/>
      <c r="T2" s="86"/>
      <c r="U2" s="86"/>
      <c r="X2" s="86"/>
      <c r="Y2" s="86"/>
      <c r="Z2" s="86"/>
      <c r="AC2" s="86"/>
      <c r="AD2" s="86"/>
      <c r="AE2" s="86"/>
      <c r="AH2" s="86"/>
      <c r="AI2" s="86"/>
      <c r="AJ2" s="86"/>
      <c r="AM2" s="86"/>
      <c r="AN2" s="86"/>
    </row>
    <row r="3" spans="1:40">
      <c r="D3" s="18" t="s">
        <v>1430</v>
      </c>
      <c r="E3" s="3"/>
      <c r="F3" s="3"/>
      <c r="G3" s="3"/>
      <c r="I3" s="3"/>
      <c r="J3" s="3"/>
      <c r="K3" s="3"/>
      <c r="N3" s="3"/>
      <c r="O3" s="3"/>
      <c r="P3" s="3"/>
      <c r="S3" s="3"/>
      <c r="T3" s="3"/>
      <c r="U3" s="3"/>
      <c r="X3" s="3"/>
      <c r="Y3" s="3"/>
      <c r="Z3" s="3"/>
      <c r="AC3" s="3"/>
      <c r="AD3" s="3"/>
      <c r="AE3" s="3"/>
      <c r="AH3" s="3"/>
      <c r="AI3" s="3"/>
      <c r="AJ3" s="3"/>
      <c r="AM3" s="3"/>
      <c r="AN3" s="3"/>
    </row>
    <row r="4" spans="1:40">
      <c r="A4" s="790" t="s">
        <v>1367</v>
      </c>
      <c r="B4" s="64" t="s">
        <v>1361</v>
      </c>
      <c r="C4" s="64" t="s">
        <v>249</v>
      </c>
      <c r="D4" s="196">
        <f>SUMIF('UFCA - BS'!$F$4:$F$64,C4,'UFCA - BS'!$I$4:$I$64)</f>
        <v>128.09</v>
      </c>
    </row>
    <row r="5" spans="1:40">
      <c r="A5" s="790"/>
      <c r="B5" s="96" t="s">
        <v>1363</v>
      </c>
      <c r="C5" s="48" t="s">
        <v>1364</v>
      </c>
      <c r="D5" s="196">
        <f>SUMIF('UFCA - BS'!$F$4:$F$64,C5,'UFCA - BS'!$I$4:$I$64)</f>
        <v>0</v>
      </c>
    </row>
    <row r="6" spans="1:40">
      <c r="A6" s="790" t="s">
        <v>1368</v>
      </c>
      <c r="B6" s="791" t="s">
        <v>1365</v>
      </c>
      <c r="C6" s="64" t="s">
        <v>27</v>
      </c>
      <c r="D6" s="196">
        <f>SUMIF('UFCA - BS'!$F$4:$F$64,C6,'UFCA - BS'!$I$4:$I$64)</f>
        <v>6.53</v>
      </c>
    </row>
    <row r="7" spans="1:40">
      <c r="A7" s="790"/>
      <c r="B7" s="791"/>
      <c r="C7" s="64" t="s">
        <v>355</v>
      </c>
      <c r="D7" s="196">
        <f>SUMIF('UFCA - BS'!$F$4:$F$64,C7,'UFCA - BS'!$I$4:$I$64)</f>
        <v>84</v>
      </c>
    </row>
    <row r="8" spans="1:40">
      <c r="A8" s="790"/>
      <c r="B8" s="791"/>
      <c r="C8" s="64" t="s">
        <v>192</v>
      </c>
      <c r="D8" s="196">
        <f>SUMIF('UFCA - BS'!$F$4:$F$64,C8,'UFCA - BS'!$I$4:$I$64)</f>
        <v>153.51</v>
      </c>
    </row>
    <row r="9" spans="1:40">
      <c r="A9" s="791" t="s">
        <v>1372</v>
      </c>
      <c r="B9" s="791" t="s">
        <v>1448</v>
      </c>
      <c r="C9" s="64" t="s">
        <v>194</v>
      </c>
      <c r="D9" s="196">
        <f>SUMIF('UFCA - BS'!$F$4:$F$64,C9,'UFCA - BS'!$I$4:$I$64)</f>
        <v>694.72</v>
      </c>
    </row>
    <row r="10" spans="1:40">
      <c r="A10" s="791"/>
      <c r="B10" s="791"/>
      <c r="C10" s="64" t="s">
        <v>1382</v>
      </c>
      <c r="D10" s="196">
        <f>SUMIF('UFCA - BS'!$F$4:$F$64,C10,'UFCA - BS'!$I$4:$I$64)</f>
        <v>0</v>
      </c>
    </row>
    <row r="11" spans="1:40">
      <c r="A11" s="791"/>
      <c r="B11" s="791"/>
      <c r="C11" s="64" t="s">
        <v>821</v>
      </c>
      <c r="D11" s="196">
        <f>SUMIF('UFCA - BS'!$F$4:$F$64,C11,'UFCA - BS'!$I$4:$I$64)</f>
        <v>10.78</v>
      </c>
    </row>
    <row r="12" spans="1:40">
      <c r="A12" s="791"/>
      <c r="B12" s="791"/>
      <c r="C12" s="64" t="s">
        <v>1370</v>
      </c>
      <c r="D12" s="196">
        <f>SUMIF('UFCA - BS'!$F$4:$F$64,C12,'UFCA - BS'!$I$4:$I$64)</f>
        <v>0</v>
      </c>
    </row>
    <row r="13" spans="1:40">
      <c r="A13" s="791" t="s">
        <v>1373</v>
      </c>
      <c r="B13" s="789"/>
      <c r="C13" s="64" t="s">
        <v>175</v>
      </c>
      <c r="D13" s="196">
        <f>SUMIF('UFCA - BS'!$F$4:$F$64,C13,'UFCA - BS'!$I$4:$I$64)</f>
        <v>0</v>
      </c>
    </row>
    <row r="14" spans="1:40">
      <c r="A14" s="791"/>
      <c r="B14" s="789"/>
      <c r="C14" s="64" t="s">
        <v>109</v>
      </c>
      <c r="D14" s="196">
        <f>SUMIF('UFCA - BS'!$F$4:$F$64,C14,'UFCA - BS'!$I$4:$I$64)</f>
        <v>97.58</v>
      </c>
    </row>
    <row r="15" spans="1:40">
      <c r="A15" s="791"/>
      <c r="B15" s="789"/>
      <c r="C15" s="64" t="s">
        <v>1313</v>
      </c>
      <c r="D15" s="196">
        <f>SUMIF('UFCA - BS'!$F$4:$F$64,C15,'UFCA - BS'!$I$4:$I$64)</f>
        <v>0</v>
      </c>
    </row>
    <row r="16" spans="1:40">
      <c r="A16" s="791"/>
      <c r="B16" s="789"/>
      <c r="C16" s="64" t="s">
        <v>110</v>
      </c>
      <c r="D16" s="196">
        <f>SUMIF('UFCA - BS'!$F$4:$F$64,C16,'UFCA - BS'!$I$4:$I$64)</f>
        <v>0</v>
      </c>
    </row>
    <row r="17" spans="1:41">
      <c r="A17" s="791"/>
      <c r="B17" s="789"/>
      <c r="C17" s="64" t="s">
        <v>211</v>
      </c>
      <c r="D17" s="196">
        <f>SUMIF('UFCA - BS'!$F$4:$F$64,C17,'UFCA - BS'!$I$4:$I$64)</f>
        <v>0</v>
      </c>
    </row>
    <row r="18" spans="1:41">
      <c r="A18" s="791"/>
      <c r="B18" s="789"/>
      <c r="C18" s="64" t="s">
        <v>1371</v>
      </c>
      <c r="D18" s="196">
        <f>SUMIF('UFCA - BS'!$F$4:$F$64,C18,'UFCA - BS'!$I$4:$I$64)</f>
        <v>0</v>
      </c>
    </row>
    <row r="19" spans="1:41">
      <c r="A19" s="791"/>
      <c r="B19" s="789"/>
      <c r="C19" s="64" t="s">
        <v>248</v>
      </c>
      <c r="D19" s="196">
        <f>SUMIF('UFCA - BS'!$F$4:$F$64,C19,'UFCA - BS'!$I$4:$I$64)</f>
        <v>631.77</v>
      </c>
    </row>
    <row r="20" spans="1:41">
      <c r="A20" s="791"/>
      <c r="B20" s="789"/>
      <c r="C20" s="64" t="s">
        <v>208</v>
      </c>
      <c r="D20" s="196">
        <f>SUMIF('UFCA - BS'!$F$4:$F$64,C20,'UFCA - BS'!$I$4:$I$64)</f>
        <v>81.850000000000009</v>
      </c>
    </row>
    <row r="21" spans="1:41">
      <c r="A21" s="791"/>
      <c r="B21" s="789"/>
      <c r="C21" s="64" t="s">
        <v>596</v>
      </c>
      <c r="D21" s="196">
        <f>SUMIF('UFCA - BS'!$F$4:$F$64,C21,'UFCA - BS'!$I$4:$I$64)</f>
        <v>194.52</v>
      </c>
    </row>
    <row r="22" spans="1:41">
      <c r="A22" s="791"/>
      <c r="B22" s="789"/>
      <c r="C22" s="64" t="s">
        <v>593</v>
      </c>
      <c r="D22" s="196">
        <f>SUMIF('UFCA - BS'!$F$4:$F$64,C22,'UFCA - BS'!$I$4:$I$64)</f>
        <v>156.53</v>
      </c>
    </row>
    <row r="23" spans="1:41">
      <c r="A23" s="791"/>
      <c r="B23" s="789"/>
      <c r="C23" s="64" t="s">
        <v>595</v>
      </c>
      <c r="D23" s="196">
        <f>SUMIF('UFCA - BS'!$F$4:$F$64,C23,'UFCA - BS'!$I$4:$I$64)</f>
        <v>0</v>
      </c>
    </row>
    <row r="24" spans="1:41">
      <c r="A24" s="791"/>
      <c r="B24" s="789"/>
      <c r="C24" s="64" t="s">
        <v>594</v>
      </c>
      <c r="D24" s="196">
        <f>SUMIF('UFCA - BS'!$F$4:$F$64,C24,'UFCA - BS'!$I$4:$I$64)</f>
        <v>0</v>
      </c>
    </row>
    <row r="27" spans="1:41">
      <c r="C27" s="18" t="s">
        <v>1431</v>
      </c>
      <c r="D27" s="220" t="s">
        <v>563</v>
      </c>
      <c r="F27" s="3"/>
      <c r="I27" s="3"/>
      <c r="J27" s="3"/>
      <c r="K27" s="3"/>
      <c r="L27" s="80"/>
      <c r="N27" s="3"/>
      <c r="O27" s="3"/>
      <c r="P27" s="3"/>
      <c r="Q27" s="80"/>
      <c r="S27" s="3"/>
      <c r="T27" s="3"/>
      <c r="U27" s="3"/>
      <c r="V27" s="80"/>
      <c r="X27" s="3"/>
      <c r="Y27" s="3"/>
      <c r="Z27" s="3"/>
      <c r="AA27" s="80"/>
      <c r="AC27" s="3"/>
      <c r="AD27" s="3"/>
      <c r="AE27" s="3"/>
      <c r="AF27" s="80"/>
      <c r="AH27" s="3"/>
      <c r="AI27" s="3"/>
      <c r="AJ27" s="3"/>
      <c r="AK27" s="80"/>
      <c r="AM27" s="3"/>
      <c r="AN27" s="3"/>
      <c r="AO27" s="80"/>
    </row>
    <row r="28" spans="1:41">
      <c r="A28" s="48"/>
      <c r="B28" s="12" t="s">
        <v>1362</v>
      </c>
      <c r="C28" s="197">
        <f>SUM(D4:D24)</f>
        <v>2239.88</v>
      </c>
      <c r="D28" s="227">
        <f>SUM(C28)</f>
        <v>2239.88</v>
      </c>
      <c r="F28" s="4"/>
      <c r="I28" s="215"/>
      <c r="J28" s="215"/>
      <c r="K28" s="215"/>
      <c r="L28" s="216"/>
      <c r="N28" s="215"/>
      <c r="O28" s="215"/>
      <c r="P28" s="215"/>
      <c r="Q28" s="216"/>
      <c r="S28" s="215"/>
      <c r="T28" s="215"/>
      <c r="U28" s="215"/>
      <c r="V28" s="216"/>
      <c r="X28" s="215"/>
      <c r="Y28" s="215"/>
      <c r="Z28" s="215"/>
      <c r="AA28" s="216"/>
      <c r="AC28" s="215"/>
      <c r="AD28" s="215"/>
      <c r="AE28" s="215"/>
      <c r="AF28" s="216"/>
      <c r="AH28" s="215"/>
      <c r="AI28" s="215"/>
      <c r="AJ28" s="215"/>
      <c r="AK28" s="216"/>
      <c r="AM28" s="215"/>
      <c r="AN28" s="215"/>
      <c r="AO28" s="216"/>
    </row>
    <row r="29" spans="1:41" ht="15" customHeight="1">
      <c r="A29" s="98" t="s">
        <v>1367</v>
      </c>
      <c r="B29" s="200" t="s">
        <v>1361</v>
      </c>
      <c r="C29" s="199">
        <f>D4</f>
        <v>128.09</v>
      </c>
      <c r="D29" s="221">
        <f>SUM(C29)</f>
        <v>128.09</v>
      </c>
      <c r="F29" s="4"/>
      <c r="J29" s="4"/>
      <c r="K29" s="4"/>
      <c r="L29" s="216"/>
      <c r="O29" s="4"/>
      <c r="P29" s="4"/>
      <c r="Q29" s="216"/>
      <c r="T29" s="4"/>
      <c r="U29" s="4"/>
      <c r="V29" s="216"/>
      <c r="Y29" s="4"/>
      <c r="Z29" s="4"/>
      <c r="AA29" s="216"/>
      <c r="AD29" s="4"/>
      <c r="AE29" s="4"/>
      <c r="AF29" s="216"/>
      <c r="AI29" s="4"/>
      <c r="AJ29" s="4"/>
      <c r="AK29" s="216"/>
      <c r="AM29" s="4"/>
      <c r="AN29" s="4"/>
      <c r="AO29" s="216"/>
    </row>
    <row r="30" spans="1:41">
      <c r="A30" s="800" t="s">
        <v>1363</v>
      </c>
      <c r="B30" s="48" t="s">
        <v>1365</v>
      </c>
      <c r="C30" s="198">
        <f>D5</f>
        <v>0</v>
      </c>
      <c r="D30" s="221">
        <f>SUM(C30)</f>
        <v>0</v>
      </c>
      <c r="F30" s="4"/>
      <c r="J30" s="4"/>
      <c r="K30" s="4"/>
      <c r="L30" s="216"/>
      <c r="O30" s="4"/>
      <c r="P30" s="4"/>
      <c r="Q30" s="216"/>
      <c r="T30" s="4"/>
      <c r="U30" s="4"/>
      <c r="V30" s="216"/>
      <c r="Y30" s="4"/>
      <c r="Z30" s="4"/>
      <c r="AA30" s="216"/>
      <c r="AD30" s="4"/>
      <c r="AE30" s="4"/>
      <c r="AF30" s="216"/>
      <c r="AI30" s="4"/>
      <c r="AJ30" s="4"/>
      <c r="AK30" s="216"/>
      <c r="AM30" s="4"/>
      <c r="AN30" s="4"/>
      <c r="AO30" s="216"/>
    </row>
    <row r="31" spans="1:41" ht="30" customHeight="1">
      <c r="A31" s="801"/>
      <c r="B31" s="48" t="s">
        <v>1366</v>
      </c>
      <c r="C31" s="198">
        <v>0</v>
      </c>
      <c r="D31" s="221">
        <f>SUM(C31)</f>
        <v>0</v>
      </c>
      <c r="F31" s="4"/>
      <c r="J31" s="4"/>
      <c r="K31" s="4"/>
      <c r="L31" s="216"/>
      <c r="O31" s="4"/>
      <c r="P31" s="4"/>
      <c r="Q31" s="216"/>
      <c r="T31" s="4"/>
      <c r="U31" s="4"/>
      <c r="V31" s="216"/>
      <c r="Y31" s="4"/>
      <c r="Z31" s="4"/>
      <c r="AA31" s="216"/>
      <c r="AD31" s="4"/>
      <c r="AE31" s="4"/>
      <c r="AF31" s="216"/>
      <c r="AI31" s="4"/>
      <c r="AJ31" s="4"/>
      <c r="AK31" s="216"/>
      <c r="AM31" s="4"/>
      <c r="AN31" s="4"/>
      <c r="AO31" s="216"/>
    </row>
    <row r="32" spans="1:41">
      <c r="A32" s="797" t="s">
        <v>1368</v>
      </c>
      <c r="B32" s="48" t="s">
        <v>1365</v>
      </c>
      <c r="C32" s="198">
        <f>SUM(D6:D8)</f>
        <v>244.04</v>
      </c>
      <c r="D32" s="221">
        <f>SUM(C32)</f>
        <v>244.04</v>
      </c>
      <c r="F32" s="4"/>
      <c r="J32" s="4"/>
      <c r="K32" s="4"/>
      <c r="L32" s="216"/>
      <c r="O32" s="4"/>
      <c r="P32" s="4"/>
      <c r="Q32" s="216"/>
      <c r="T32" s="4"/>
      <c r="U32" s="4"/>
      <c r="V32" s="216"/>
      <c r="Y32" s="4"/>
      <c r="Z32" s="4"/>
      <c r="AA32" s="216"/>
      <c r="AD32" s="4"/>
      <c r="AE32" s="4"/>
      <c r="AF32" s="216"/>
      <c r="AI32" s="4"/>
      <c r="AJ32" s="4"/>
      <c r="AK32" s="216"/>
      <c r="AM32" s="4"/>
      <c r="AN32" s="4"/>
      <c r="AO32" s="216"/>
    </row>
    <row r="33" spans="1:41">
      <c r="A33" s="797"/>
      <c r="B33" s="48" t="s">
        <v>1366</v>
      </c>
      <c r="C33" s="198">
        <v>0</v>
      </c>
      <c r="D33" s="221">
        <v>0</v>
      </c>
      <c r="F33" s="4"/>
      <c r="J33" s="4"/>
      <c r="K33" s="4"/>
      <c r="L33" s="216"/>
      <c r="O33" s="4"/>
      <c r="P33" s="4"/>
      <c r="Q33" s="216"/>
      <c r="T33" s="4"/>
      <c r="U33" s="4"/>
      <c r="V33" s="216"/>
      <c r="Y33" s="4"/>
      <c r="Z33" s="4"/>
      <c r="AA33" s="216"/>
      <c r="AD33" s="4"/>
      <c r="AE33" s="4"/>
      <c r="AF33" s="216"/>
      <c r="AI33" s="4"/>
      <c r="AJ33" s="4"/>
      <c r="AK33" s="216"/>
      <c r="AM33" s="4"/>
      <c r="AN33" s="4"/>
      <c r="AO33" s="216"/>
    </row>
    <row r="34" spans="1:41">
      <c r="A34" s="798" t="s">
        <v>1472</v>
      </c>
      <c r="B34" s="48" t="s">
        <v>615</v>
      </c>
      <c r="C34" s="198">
        <v>0</v>
      </c>
      <c r="D34" s="224">
        <f>SUMIF('UFCA - BS'!$F$67:$F$69,B34,'UFCA - BS'!I67:I69)</f>
        <v>1197.79</v>
      </c>
      <c r="F34" s="4"/>
      <c r="J34" s="4"/>
      <c r="K34" s="4"/>
      <c r="L34" s="216"/>
      <c r="O34" s="4"/>
      <c r="P34" s="4"/>
      <c r="Q34" s="216"/>
      <c r="T34" s="4"/>
      <c r="U34" s="4"/>
      <c r="V34" s="216"/>
      <c r="Y34" s="4"/>
      <c r="Z34" s="4"/>
      <c r="AA34" s="216"/>
      <c r="AD34" s="4"/>
      <c r="AE34" s="4"/>
      <c r="AF34" s="216"/>
      <c r="AI34" s="4"/>
      <c r="AJ34" s="4"/>
      <c r="AK34" s="216"/>
      <c r="AM34" s="4"/>
      <c r="AN34" s="4"/>
      <c r="AO34" s="216"/>
    </row>
    <row r="35" spans="1:41">
      <c r="A35" s="798"/>
      <c r="B35" s="48" t="s">
        <v>1387</v>
      </c>
      <c r="C35" s="198">
        <v>0</v>
      </c>
      <c r="D35" s="225">
        <v>63</v>
      </c>
      <c r="F35" s="4"/>
      <c r="J35" s="4"/>
      <c r="K35" s="4"/>
      <c r="L35" s="216"/>
      <c r="O35" s="4"/>
      <c r="P35" s="4"/>
      <c r="Q35" s="216"/>
      <c r="T35" s="4"/>
      <c r="U35" s="4"/>
      <c r="V35" s="216"/>
      <c r="Y35" s="4"/>
      <c r="Z35" s="4"/>
      <c r="AA35" s="216"/>
      <c r="AD35" s="4"/>
      <c r="AE35" s="4"/>
      <c r="AF35" s="216"/>
      <c r="AI35" s="4"/>
      <c r="AJ35" s="4"/>
      <c r="AK35" s="216"/>
      <c r="AM35" s="4"/>
      <c r="AN35" s="4"/>
      <c r="AO35" s="216"/>
    </row>
    <row r="36" spans="1:41">
      <c r="A36" s="798"/>
      <c r="B36" s="48" t="s">
        <v>1388</v>
      </c>
      <c r="C36" s="198">
        <v>0</v>
      </c>
      <c r="D36" s="225">
        <v>7</v>
      </c>
      <c r="F36" s="4"/>
      <c r="J36" s="4"/>
      <c r="K36" s="4"/>
      <c r="L36" s="216"/>
      <c r="O36" s="4"/>
      <c r="P36" s="4"/>
      <c r="Q36" s="216"/>
      <c r="T36" s="4"/>
      <c r="U36" s="4"/>
      <c r="V36" s="216"/>
      <c r="Y36" s="4"/>
      <c r="Z36" s="4"/>
      <c r="AA36" s="216"/>
      <c r="AD36" s="4"/>
      <c r="AE36" s="4"/>
      <c r="AF36" s="216"/>
      <c r="AI36" s="4"/>
      <c r="AJ36" s="4"/>
      <c r="AK36" s="216"/>
      <c r="AM36" s="4"/>
      <c r="AN36" s="4"/>
      <c r="AO36" s="216"/>
    </row>
    <row r="37" spans="1:41" ht="45">
      <c r="A37" s="799"/>
      <c r="B37" s="61" t="s">
        <v>1450</v>
      </c>
      <c r="C37" s="198">
        <f>SUM(D9:D12)</f>
        <v>705.5</v>
      </c>
      <c r="D37" s="221">
        <f>SUM(C37)</f>
        <v>705.5</v>
      </c>
      <c r="F37" s="4"/>
      <c r="J37" s="4"/>
      <c r="K37" s="4"/>
      <c r="L37" s="216"/>
      <c r="O37" s="4"/>
      <c r="P37" s="4"/>
      <c r="Q37" s="216"/>
      <c r="T37" s="4"/>
      <c r="U37" s="4"/>
      <c r="V37" s="216"/>
      <c r="Y37" s="4"/>
      <c r="Z37" s="4"/>
      <c r="AA37" s="216"/>
      <c r="AD37" s="4"/>
      <c r="AE37" s="4"/>
      <c r="AF37" s="216"/>
      <c r="AI37" s="4"/>
      <c r="AJ37" s="4"/>
      <c r="AK37" s="216"/>
      <c r="AM37" s="4"/>
      <c r="AN37" s="4"/>
      <c r="AO37" s="216"/>
    </row>
    <row r="38" spans="1:41">
      <c r="A38" s="96" t="s">
        <v>1373</v>
      </c>
      <c r="B38" s="48"/>
      <c r="C38" s="48">
        <f>SUM(D13:D24)</f>
        <v>1162.25</v>
      </c>
      <c r="D38" s="222">
        <f>SUM(C38)</f>
        <v>1162.25</v>
      </c>
      <c r="L38" s="216"/>
      <c r="Q38" s="216"/>
      <c r="V38" s="216"/>
      <c r="AA38" s="216"/>
      <c r="AF38" s="216"/>
      <c r="AK38" s="216"/>
      <c r="AO38" s="216"/>
    </row>
    <row r="40" spans="1:41">
      <c r="C40">
        <f>SUM(C29,C32,C38,C37,C30)</f>
        <v>2239.88</v>
      </c>
    </row>
    <row r="42" spans="1:41" s="207" customFormat="1"/>
    <row r="44" spans="1:41">
      <c r="A44" s="795" t="s">
        <v>1389</v>
      </c>
      <c r="B44" s="795"/>
      <c r="C44" s="795"/>
      <c r="D44" s="795"/>
      <c r="E44" s="795"/>
      <c r="F44" s="795"/>
      <c r="G44" s="795"/>
      <c r="H44" s="795"/>
    </row>
    <row r="45" spans="1:41">
      <c r="B45" s="80"/>
      <c r="D45" s="788" t="s">
        <v>1390</v>
      </c>
      <c r="E45" s="788"/>
      <c r="F45" s="788"/>
      <c r="G45" s="80"/>
      <c r="H45" s="80"/>
    </row>
    <row r="46" spans="1:41">
      <c r="B46" s="80"/>
      <c r="D46" s="787" t="s">
        <v>1391</v>
      </c>
      <c r="E46" s="787"/>
      <c r="F46" s="787"/>
      <c r="G46" s="80"/>
      <c r="H46" s="80"/>
    </row>
    <row r="47" spans="1:41" ht="25.5">
      <c r="B47" s="202" t="s">
        <v>70</v>
      </c>
      <c r="D47" s="202" t="s">
        <v>1392</v>
      </c>
      <c r="E47" s="202" t="s">
        <v>1393</v>
      </c>
      <c r="F47" s="202" t="s">
        <v>1394</v>
      </c>
      <c r="G47" s="202" t="s">
        <v>1395</v>
      </c>
      <c r="H47" s="202" t="s">
        <v>1396</v>
      </c>
      <c r="J47" t="s">
        <v>1439</v>
      </c>
    </row>
    <row r="48" spans="1:41">
      <c r="A48" s="90" t="s">
        <v>874</v>
      </c>
      <c r="B48" s="171" t="s">
        <v>1438</v>
      </c>
      <c r="C48" s="64" t="s">
        <v>249</v>
      </c>
      <c r="D48" s="16">
        <f>(E48+F48*0.5)</f>
        <v>48.5</v>
      </c>
      <c r="E48" s="16">
        <f>SUMIF('UFCA - BS'!$F$4:$F$64,C48,'UFCA - BS'!K4:K64)+2</f>
        <v>46</v>
      </c>
      <c r="F48" s="176">
        <v>5</v>
      </c>
      <c r="G48" s="13">
        <f>11+4</f>
        <v>15</v>
      </c>
      <c r="H48" s="13">
        <v>0</v>
      </c>
      <c r="I48" s="212"/>
      <c r="J48" s="213" t="s">
        <v>1400</v>
      </c>
      <c r="K48" s="213" t="s">
        <v>1440</v>
      </c>
      <c r="L48" s="212"/>
    </row>
    <row r="49" spans="3:8">
      <c r="C49" s="203" t="s">
        <v>563</v>
      </c>
      <c r="D49" s="204">
        <f>SUM(D48:D48)</f>
        <v>48.5</v>
      </c>
      <c r="E49" s="204">
        <f>SUM(E48:E48)</f>
        <v>46</v>
      </c>
      <c r="F49" s="204">
        <f>SUM(F48:F48)</f>
        <v>5</v>
      </c>
      <c r="G49" s="204">
        <f>SUM(G48:G48)</f>
        <v>15</v>
      </c>
      <c r="H49" s="204">
        <f>SUM(H48:H48)</f>
        <v>0</v>
      </c>
    </row>
    <row r="105" spans="3:8">
      <c r="C105" s="217"/>
      <c r="D105" s="218"/>
      <c r="E105" s="218"/>
      <c r="F105" s="218"/>
      <c r="G105" s="218"/>
      <c r="H105" s="218"/>
    </row>
  </sheetData>
  <mergeCells count="21">
    <mergeCell ref="A9:A12"/>
    <mergeCell ref="B9:B12"/>
    <mergeCell ref="I1:K1"/>
    <mergeCell ref="N1:P1"/>
    <mergeCell ref="S1:U1"/>
    <mergeCell ref="AH1:AJ1"/>
    <mergeCell ref="AM1:AN1"/>
    <mergeCell ref="A4:A5"/>
    <mergeCell ref="A6:A8"/>
    <mergeCell ref="B6:B8"/>
    <mergeCell ref="X1:Z1"/>
    <mergeCell ref="AC1:AE1"/>
    <mergeCell ref="A1:D1"/>
    <mergeCell ref="D45:F45"/>
    <mergeCell ref="D46:F46"/>
    <mergeCell ref="A13:A24"/>
    <mergeCell ref="B13:B24"/>
    <mergeCell ref="A32:A33"/>
    <mergeCell ref="A34:A37"/>
    <mergeCell ref="A44:H44"/>
    <mergeCell ref="A30:A31"/>
  </mergeCells>
  <pageMargins left="0.511811024" right="0.511811024" top="0.78740157499999996" bottom="0.78740157499999996" header="0.31496062000000002" footer="0.31496062000000002"/>
  <pageSetup paperSize="9" scale="2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E884C6-34C5-47D3-B0A6-4305C3EFC895}">
  <sheetPr>
    <tabColor theme="5" tint="0.59999389629810485"/>
    <pageSetUpPr fitToPage="1"/>
  </sheetPr>
  <dimension ref="A1:AO105"/>
  <sheetViews>
    <sheetView workbookViewId="0">
      <pane xSplit="1" topLeftCell="B1" activePane="topRight" state="frozen"/>
      <selection pane="topRight" activeCell="D9" sqref="D9"/>
    </sheetView>
  </sheetViews>
  <sheetFormatPr defaultRowHeight="15"/>
  <cols>
    <col min="1" max="1" width="15" customWidth="1"/>
    <col min="2" max="2" width="24.42578125" bestFit="1" customWidth="1"/>
    <col min="3" max="3" width="19.28515625" customWidth="1"/>
    <col min="4" max="4" width="19.42578125" customWidth="1"/>
    <col min="5" max="5" width="12.85546875" customWidth="1"/>
    <col min="6" max="6" width="12.28515625" customWidth="1"/>
    <col min="7" max="7" width="11.5703125" customWidth="1"/>
    <col min="8" max="8" width="16.140625" customWidth="1"/>
  </cols>
  <sheetData>
    <row r="1" spans="1:40">
      <c r="A1" s="629" t="s">
        <v>613</v>
      </c>
      <c r="B1" s="630"/>
      <c r="C1" s="630"/>
      <c r="D1" s="631"/>
      <c r="E1" s="219"/>
      <c r="F1" s="219"/>
      <c r="G1" s="219"/>
      <c r="I1" s="805"/>
      <c r="J1" s="805"/>
      <c r="K1" s="805"/>
      <c r="N1" s="805"/>
      <c r="O1" s="805"/>
      <c r="P1" s="805"/>
      <c r="S1" s="805"/>
      <c r="T1" s="805"/>
      <c r="U1" s="805"/>
      <c r="X1" s="805"/>
      <c r="Y1" s="805"/>
      <c r="Z1" s="805"/>
      <c r="AC1" s="805"/>
      <c r="AD1" s="805"/>
      <c r="AE1" s="805"/>
      <c r="AH1" s="805"/>
      <c r="AI1" s="805"/>
      <c r="AJ1" s="805"/>
      <c r="AM1" s="805"/>
      <c r="AN1" s="805"/>
    </row>
    <row r="2" spans="1:40" ht="30">
      <c r="A2" s="232" t="s">
        <v>1469</v>
      </c>
      <c r="B2" s="18">
        <v>720</v>
      </c>
      <c r="C2" s="232" t="s">
        <v>1470</v>
      </c>
      <c r="D2" s="194">
        <v>256</v>
      </c>
      <c r="E2" s="219"/>
      <c r="F2" s="219"/>
      <c r="G2" s="219"/>
      <c r="I2" s="86"/>
      <c r="J2" s="86"/>
      <c r="K2" s="86"/>
      <c r="N2" s="86"/>
      <c r="O2" s="86"/>
      <c r="P2" s="86"/>
      <c r="S2" s="86"/>
      <c r="T2" s="86"/>
      <c r="U2" s="86"/>
      <c r="X2" s="86"/>
      <c r="Y2" s="86"/>
      <c r="Z2" s="86"/>
      <c r="AC2" s="86"/>
      <c r="AD2" s="86"/>
      <c r="AE2" s="86"/>
      <c r="AH2" s="86"/>
      <c r="AI2" s="86"/>
      <c r="AJ2" s="86"/>
      <c r="AM2" s="86"/>
      <c r="AN2" s="86"/>
    </row>
    <row r="3" spans="1:40">
      <c r="D3" s="18" t="s">
        <v>1441</v>
      </c>
      <c r="E3" s="3"/>
      <c r="F3" s="3"/>
      <c r="G3" s="3"/>
      <c r="I3" s="3"/>
      <c r="J3" s="3"/>
      <c r="K3" s="3"/>
      <c r="N3" s="3"/>
      <c r="O3" s="3"/>
      <c r="P3" s="3"/>
      <c r="S3" s="3"/>
      <c r="T3" s="3"/>
      <c r="U3" s="3"/>
      <c r="X3" s="3"/>
      <c r="Y3" s="3"/>
      <c r="Z3" s="3"/>
      <c r="AC3" s="3"/>
      <c r="AD3" s="3"/>
      <c r="AE3" s="3"/>
      <c r="AH3" s="3"/>
      <c r="AI3" s="3"/>
      <c r="AJ3" s="3"/>
      <c r="AM3" s="3"/>
      <c r="AN3" s="3"/>
    </row>
    <row r="4" spans="1:40">
      <c r="A4" s="790" t="s">
        <v>1367</v>
      </c>
      <c r="B4" s="64" t="s">
        <v>1361</v>
      </c>
      <c r="C4" s="64" t="s">
        <v>249</v>
      </c>
      <c r="D4" s="196">
        <f>SUMIF('UFCA - ICÓ (SPU)'!$F$4:$F$24,C4,'UFCA - ICÓ (SPU)'!$I$4:$I$24)</f>
        <v>42.7</v>
      </c>
    </row>
    <row r="5" spans="1:40">
      <c r="A5" s="790"/>
      <c r="B5" s="96" t="s">
        <v>1363</v>
      </c>
      <c r="C5" s="48" t="s">
        <v>1364</v>
      </c>
      <c r="D5" s="196">
        <f>SUMIF('UFCA - ICÓ (SPU)'!$F$4:$F$24,C5,'UFCA - ICÓ (SPU)'!$I$4:$I$24)</f>
        <v>61.27</v>
      </c>
    </row>
    <row r="6" spans="1:40">
      <c r="A6" s="790" t="s">
        <v>1368</v>
      </c>
      <c r="B6" s="791" t="s">
        <v>1365</v>
      </c>
      <c r="C6" s="64" t="s">
        <v>27</v>
      </c>
      <c r="D6" s="196">
        <f>SUMIF('UFCA - ICÓ (SPU)'!$F$4:$F$24,C6,'UFCA - ICÓ (SPU)'!$I$4:$I$24)</f>
        <v>0</v>
      </c>
    </row>
    <row r="7" spans="1:40">
      <c r="A7" s="790"/>
      <c r="B7" s="791"/>
      <c r="C7" s="64" t="s">
        <v>355</v>
      </c>
      <c r="D7" s="196">
        <f>SUMIF('UFCA - ICÓ (SPU)'!$F$4:$F$24,C7,'UFCA - ICÓ (SPU)'!$I$4:$I$24)</f>
        <v>12</v>
      </c>
    </row>
    <row r="8" spans="1:40">
      <c r="A8" s="790"/>
      <c r="B8" s="791"/>
      <c r="C8" s="64" t="s">
        <v>192</v>
      </c>
      <c r="D8" s="196">
        <f>SUMIF('UFCA - ICÓ (SPU)'!$F$4:$F$24,C8,'UFCA - ICÓ (SPU)'!$I$4:$I$24)</f>
        <v>15.26</v>
      </c>
    </row>
    <row r="9" spans="1:40">
      <c r="A9" s="791" t="s">
        <v>1372</v>
      </c>
      <c r="B9" s="791" t="s">
        <v>1448</v>
      </c>
      <c r="C9" s="64" t="s">
        <v>194</v>
      </c>
      <c r="D9" s="196">
        <f>SUMIF('UFCA - ICÓ (SPU)'!$F$4:$F$24,C9,'UFCA - ICÓ (SPU)'!$I$4:$I$24)</f>
        <v>22.590000000000003</v>
      </c>
    </row>
    <row r="10" spans="1:40">
      <c r="A10" s="791"/>
      <c r="B10" s="791"/>
      <c r="C10" s="64" t="s">
        <v>1382</v>
      </c>
      <c r="D10" s="196">
        <f>SUMIF('UFCA - ICÓ (SPU)'!$F$4:$F$24,C10,'UFCA - ICÓ (SPU)'!$I$4:$I$24)</f>
        <v>0</v>
      </c>
    </row>
    <row r="11" spans="1:40">
      <c r="A11" s="791"/>
      <c r="B11" s="791"/>
      <c r="C11" s="64" t="s">
        <v>821</v>
      </c>
      <c r="D11" s="196">
        <f>SUMIF('UFCA - ICÓ (SPU)'!$F$4:$F$24,C11,'UFCA - ICÓ (SPU)'!$I$4:$I$24)</f>
        <v>0</v>
      </c>
    </row>
    <row r="12" spans="1:40">
      <c r="A12" s="791"/>
      <c r="B12" s="791"/>
      <c r="C12" s="64" t="s">
        <v>1370</v>
      </c>
      <c r="D12" s="196">
        <f>SUMIF('UFCA - ICÓ (SPU)'!$F$4:$F$24,C12,'UFCA - ICÓ (SPU)'!$I$4:$I$24)</f>
        <v>0</v>
      </c>
    </row>
    <row r="13" spans="1:40">
      <c r="A13" s="791" t="s">
        <v>1373</v>
      </c>
      <c r="B13" s="789"/>
      <c r="C13" s="64" t="s">
        <v>175</v>
      </c>
      <c r="D13" s="196">
        <f>SUMIF('UFCA - ICÓ (SPU)'!$F$4:$F$24,C13,'UFCA - ICÓ (SPU)'!$I$4:$I$24)</f>
        <v>0</v>
      </c>
    </row>
    <row r="14" spans="1:40">
      <c r="A14" s="791"/>
      <c r="B14" s="789"/>
      <c r="C14" s="64" t="s">
        <v>109</v>
      </c>
      <c r="D14" s="196">
        <f>SUMIF('UFCA - ICÓ (SPU)'!$F$4:$F$24,C14,'UFCA - ICÓ (SPU)'!$I$4:$I$24)</f>
        <v>11.3</v>
      </c>
    </row>
    <row r="15" spans="1:40">
      <c r="A15" s="791"/>
      <c r="B15" s="789"/>
      <c r="C15" s="64" t="s">
        <v>1313</v>
      </c>
      <c r="D15" s="196">
        <f>SUMIF('UFCA - ICÓ (SPU)'!$F$4:$F$24,C15,'UFCA - ICÓ (SPU)'!$I$4:$I$24)</f>
        <v>0</v>
      </c>
    </row>
    <row r="16" spans="1:40">
      <c r="A16" s="791"/>
      <c r="B16" s="789"/>
      <c r="C16" s="64" t="s">
        <v>110</v>
      </c>
      <c r="D16" s="196">
        <f>SUMIF('UFCA - ICÓ (SPU)'!$F$4:$F$24,C16,'UFCA - ICÓ (SPU)'!$I$4:$I$24)</f>
        <v>0</v>
      </c>
    </row>
    <row r="17" spans="1:41">
      <c r="A17" s="791"/>
      <c r="B17" s="789"/>
      <c r="C17" s="64" t="s">
        <v>211</v>
      </c>
      <c r="D17" s="196">
        <f>SUMIF('UFCA - ICÓ (SPU)'!$F$4:$F$24,C17,'UFCA - ICÓ (SPU)'!$I$4:$I$24)</f>
        <v>0</v>
      </c>
    </row>
    <row r="18" spans="1:41">
      <c r="A18" s="791"/>
      <c r="B18" s="789"/>
      <c r="C18" s="64" t="s">
        <v>1371</v>
      </c>
      <c r="D18" s="196">
        <f>SUMIF('UFCA - ICÓ (SPU)'!$F$4:$F$24,C18,'UFCA - ICÓ (SPU)'!$I$4:$I$24)</f>
        <v>18.079999999999998</v>
      </c>
    </row>
    <row r="19" spans="1:41">
      <c r="A19" s="791"/>
      <c r="B19" s="789"/>
      <c r="C19" s="64" t="s">
        <v>248</v>
      </c>
      <c r="D19" s="196">
        <f>SUMIF('UFCA - ICÓ (SPU)'!$F$4:$F$24,C19,'UFCA - ICÓ (SPU)'!$I$4:$I$24)</f>
        <v>0</v>
      </c>
    </row>
    <row r="20" spans="1:41">
      <c r="A20" s="791"/>
      <c r="B20" s="789"/>
      <c r="C20" s="64" t="s">
        <v>208</v>
      </c>
      <c r="D20" s="196">
        <f>SUMIF('UFCA - ICÓ (SPU)'!$F$4:$F$24,C20,'UFCA - ICÓ (SPU)'!$I$4:$I$24)</f>
        <v>0</v>
      </c>
    </row>
    <row r="21" spans="1:41">
      <c r="A21" s="791"/>
      <c r="B21" s="789"/>
      <c r="C21" s="64" t="s">
        <v>596</v>
      </c>
      <c r="D21" s="196">
        <f>SUMIF('UFCA - ICÓ (SPU)'!$F$4:$F$24,C21,'UFCA - ICÓ (SPU)'!$I$4:$I$24)</f>
        <v>27.89</v>
      </c>
    </row>
    <row r="22" spans="1:41">
      <c r="A22" s="791"/>
      <c r="B22" s="789"/>
      <c r="C22" s="64" t="s">
        <v>1444</v>
      </c>
      <c r="D22" s="196">
        <f>SUMIF('UFCA - ICÓ (SPU)'!$F$4:$F$24,C22,'UFCA - ICÓ (SPU)'!$I$4:$I$24)</f>
        <v>0</v>
      </c>
    </row>
    <row r="23" spans="1:41">
      <c r="A23" s="791"/>
      <c r="B23" s="789"/>
      <c r="C23" s="64" t="s">
        <v>595</v>
      </c>
      <c r="D23" s="196">
        <f>SUMIF('UFCA - ICÓ (SPU)'!$F$4:$F$24,C23,'UFCA - ICÓ (SPU)'!$I$4:$I$24)</f>
        <v>0</v>
      </c>
    </row>
    <row r="24" spans="1:41">
      <c r="A24" s="791"/>
      <c r="B24" s="789"/>
      <c r="C24" s="64" t="s">
        <v>594</v>
      </c>
      <c r="D24" s="196">
        <f>SUMIF('UFCA - ICÓ (SPU)'!$F$4:$F$24,C24,'UFCA - ICÓ (SPU)'!$I$4:$I$24)</f>
        <v>0</v>
      </c>
    </row>
    <row r="27" spans="1:41">
      <c r="C27" s="18" t="s">
        <v>1442</v>
      </c>
      <c r="D27" s="220" t="s">
        <v>563</v>
      </c>
      <c r="F27" s="3"/>
      <c r="I27" s="3"/>
      <c r="J27" s="3"/>
      <c r="K27" s="3"/>
      <c r="L27" s="80"/>
      <c r="N27" s="3"/>
      <c r="O27" s="3"/>
      <c r="P27" s="3"/>
      <c r="Q27" s="80"/>
      <c r="S27" s="3"/>
      <c r="T27" s="3"/>
      <c r="U27" s="3"/>
      <c r="V27" s="80"/>
      <c r="X27" s="3"/>
      <c r="Y27" s="3"/>
      <c r="Z27" s="3"/>
      <c r="AA27" s="80"/>
      <c r="AC27" s="3"/>
      <c r="AD27" s="3"/>
      <c r="AE27" s="3"/>
      <c r="AF27" s="80"/>
      <c r="AH27" s="3"/>
      <c r="AI27" s="3"/>
      <c r="AJ27" s="3"/>
      <c r="AK27" s="80"/>
      <c r="AM27" s="3"/>
      <c r="AN27" s="3"/>
      <c r="AO27" s="80"/>
    </row>
    <row r="28" spans="1:41">
      <c r="A28" s="48"/>
      <c r="B28" s="12" t="s">
        <v>1362</v>
      </c>
      <c r="C28" s="197">
        <f>SUM(D4:D24)</f>
        <v>211.08999999999997</v>
      </c>
      <c r="D28" s="227">
        <f>SUM(C28)</f>
        <v>211.08999999999997</v>
      </c>
      <c r="F28" s="4"/>
      <c r="I28" s="215"/>
      <c r="J28" s="215"/>
      <c r="K28" s="215"/>
      <c r="L28" s="216"/>
      <c r="N28" s="215"/>
      <c r="O28" s="215"/>
      <c r="P28" s="215"/>
      <c r="Q28" s="216"/>
      <c r="S28" s="215"/>
      <c r="T28" s="215"/>
      <c r="U28" s="215"/>
      <c r="V28" s="216"/>
      <c r="X28" s="215"/>
      <c r="Y28" s="215"/>
      <c r="Z28" s="215"/>
      <c r="AA28" s="216"/>
      <c r="AC28" s="215"/>
      <c r="AD28" s="215"/>
      <c r="AE28" s="215"/>
      <c r="AF28" s="216"/>
      <c r="AH28" s="215"/>
      <c r="AI28" s="215"/>
      <c r="AJ28" s="215"/>
      <c r="AK28" s="216"/>
      <c r="AM28" s="215"/>
      <c r="AN28" s="215"/>
      <c r="AO28" s="216"/>
    </row>
    <row r="29" spans="1:41" ht="30">
      <c r="A29" s="98" t="s">
        <v>1367</v>
      </c>
      <c r="B29" s="200" t="s">
        <v>1361</v>
      </c>
      <c r="C29" s="199">
        <f>D4</f>
        <v>42.7</v>
      </c>
      <c r="D29" s="221">
        <f>SUM(C29)</f>
        <v>42.7</v>
      </c>
      <c r="F29" s="4"/>
      <c r="J29" s="4"/>
      <c r="K29" s="4"/>
      <c r="L29" s="216"/>
      <c r="O29" s="4"/>
      <c r="P29" s="4"/>
      <c r="Q29" s="216"/>
      <c r="T29" s="4"/>
      <c r="U29" s="4"/>
      <c r="V29" s="216"/>
      <c r="Y29" s="4"/>
      <c r="Z29" s="4"/>
      <c r="AA29" s="216"/>
      <c r="AD29" s="4"/>
      <c r="AE29" s="4"/>
      <c r="AF29" s="216"/>
      <c r="AI29" s="4"/>
      <c r="AJ29" s="4"/>
      <c r="AK29" s="216"/>
      <c r="AM29" s="4"/>
      <c r="AN29" s="4"/>
      <c r="AO29" s="216"/>
    </row>
    <row r="30" spans="1:41">
      <c r="A30" s="800" t="s">
        <v>1363</v>
      </c>
      <c r="B30" s="48" t="s">
        <v>1365</v>
      </c>
      <c r="C30" s="198">
        <f>D5</f>
        <v>61.27</v>
      </c>
      <c r="D30" s="221">
        <f>SUM(C30)</f>
        <v>61.27</v>
      </c>
      <c r="F30" s="4"/>
      <c r="J30" s="4"/>
      <c r="K30" s="4"/>
      <c r="L30" s="216"/>
      <c r="O30" s="4"/>
      <c r="P30" s="4"/>
      <c r="Q30" s="216"/>
      <c r="T30" s="4"/>
      <c r="U30" s="4"/>
      <c r="V30" s="216"/>
      <c r="Y30" s="4"/>
      <c r="Z30" s="4"/>
      <c r="AA30" s="216"/>
      <c r="AD30" s="4"/>
      <c r="AE30" s="4"/>
      <c r="AF30" s="216"/>
      <c r="AI30" s="4"/>
      <c r="AJ30" s="4"/>
      <c r="AK30" s="216"/>
      <c r="AM30" s="4"/>
      <c r="AN30" s="4"/>
      <c r="AO30" s="216"/>
    </row>
    <row r="31" spans="1:41" ht="29.25" customHeight="1">
      <c r="A31" s="801"/>
      <c r="B31" s="48" t="s">
        <v>1366</v>
      </c>
      <c r="C31" s="198">
        <v>0</v>
      </c>
      <c r="D31" s="221">
        <f>SUM(C31)</f>
        <v>0</v>
      </c>
      <c r="F31" s="4"/>
      <c r="J31" s="4"/>
      <c r="K31" s="4"/>
      <c r="L31" s="216"/>
      <c r="O31" s="4"/>
      <c r="P31" s="4"/>
      <c r="Q31" s="216"/>
      <c r="T31" s="4"/>
      <c r="U31" s="4"/>
      <c r="V31" s="216"/>
      <c r="Y31" s="4"/>
      <c r="Z31" s="4"/>
      <c r="AA31" s="216"/>
      <c r="AD31" s="4"/>
      <c r="AE31" s="4"/>
      <c r="AF31" s="216"/>
      <c r="AI31" s="4"/>
      <c r="AJ31" s="4"/>
      <c r="AK31" s="216"/>
      <c r="AM31" s="4"/>
      <c r="AN31" s="4"/>
      <c r="AO31" s="216"/>
    </row>
    <row r="32" spans="1:41">
      <c r="A32" s="797" t="s">
        <v>1368</v>
      </c>
      <c r="B32" s="48" t="s">
        <v>1365</v>
      </c>
      <c r="C32" s="198">
        <f>SUM(D6:D8)</f>
        <v>27.259999999999998</v>
      </c>
      <c r="D32" s="221">
        <f>SUM(C32)</f>
        <v>27.259999999999998</v>
      </c>
      <c r="F32" s="4"/>
      <c r="J32" s="4"/>
      <c r="K32" s="4"/>
      <c r="L32" s="216"/>
      <c r="O32" s="4"/>
      <c r="P32" s="4"/>
      <c r="Q32" s="216"/>
      <c r="T32" s="4"/>
      <c r="U32" s="4"/>
      <c r="V32" s="216"/>
      <c r="Y32" s="4"/>
      <c r="Z32" s="4"/>
      <c r="AA32" s="216"/>
      <c r="AD32" s="4"/>
      <c r="AE32" s="4"/>
      <c r="AF32" s="216"/>
      <c r="AI32" s="4"/>
      <c r="AJ32" s="4"/>
      <c r="AK32" s="216"/>
      <c r="AM32" s="4"/>
      <c r="AN32" s="4"/>
      <c r="AO32" s="216"/>
    </row>
    <row r="33" spans="1:41">
      <c r="A33" s="797"/>
      <c r="B33" s="48" t="s">
        <v>1366</v>
      </c>
      <c r="C33" s="198">
        <v>0</v>
      </c>
      <c r="D33" s="221">
        <v>0</v>
      </c>
      <c r="F33" s="4"/>
      <c r="J33" s="4"/>
      <c r="K33" s="4"/>
      <c r="L33" s="216"/>
      <c r="O33" s="4"/>
      <c r="P33" s="4"/>
      <c r="Q33" s="216"/>
      <c r="T33" s="4"/>
      <c r="U33" s="4"/>
      <c r="V33" s="216"/>
      <c r="Y33" s="4"/>
      <c r="Z33" s="4"/>
      <c r="AA33" s="216"/>
      <c r="AD33" s="4"/>
      <c r="AE33" s="4"/>
      <c r="AF33" s="216"/>
      <c r="AI33" s="4"/>
      <c r="AJ33" s="4"/>
      <c r="AK33" s="216"/>
      <c r="AM33" s="4"/>
      <c r="AN33" s="4"/>
      <c r="AO33" s="216"/>
    </row>
    <row r="34" spans="1:41">
      <c r="A34" s="798" t="s">
        <v>1372</v>
      </c>
      <c r="B34" s="48" t="s">
        <v>615</v>
      </c>
      <c r="C34" s="198">
        <v>0</v>
      </c>
      <c r="D34" s="224">
        <v>0</v>
      </c>
      <c r="F34" s="4"/>
      <c r="J34" s="4"/>
      <c r="K34" s="4"/>
      <c r="L34" s="216"/>
      <c r="O34" s="4"/>
      <c r="P34" s="4"/>
      <c r="Q34" s="216"/>
      <c r="T34" s="4"/>
      <c r="U34" s="4"/>
      <c r="V34" s="216"/>
      <c r="Y34" s="4"/>
      <c r="Z34" s="4"/>
      <c r="AA34" s="216"/>
      <c r="AD34" s="4"/>
      <c r="AE34" s="4"/>
      <c r="AF34" s="216"/>
      <c r="AI34" s="4"/>
      <c r="AJ34" s="4"/>
      <c r="AK34" s="216"/>
      <c r="AM34" s="4"/>
      <c r="AN34" s="4"/>
      <c r="AO34" s="216"/>
    </row>
    <row r="35" spans="1:41">
      <c r="A35" s="798"/>
      <c r="B35" s="48" t="s">
        <v>1387</v>
      </c>
      <c r="C35" s="198">
        <v>0</v>
      </c>
      <c r="D35" s="225">
        <v>0</v>
      </c>
      <c r="F35" s="4"/>
      <c r="J35" s="4"/>
      <c r="K35" s="4"/>
      <c r="L35" s="216"/>
      <c r="O35" s="4"/>
      <c r="P35" s="4"/>
      <c r="Q35" s="216"/>
      <c r="T35" s="4"/>
      <c r="U35" s="4"/>
      <c r="V35" s="216"/>
      <c r="Y35" s="4"/>
      <c r="Z35" s="4"/>
      <c r="AA35" s="216"/>
      <c r="AD35" s="4"/>
      <c r="AE35" s="4"/>
      <c r="AF35" s="216"/>
      <c r="AI35" s="4"/>
      <c r="AJ35" s="4"/>
      <c r="AK35" s="216"/>
      <c r="AM35" s="4"/>
      <c r="AN35" s="4"/>
      <c r="AO35" s="216"/>
    </row>
    <row r="36" spans="1:41">
      <c r="A36" s="798"/>
      <c r="B36" s="48" t="s">
        <v>1388</v>
      </c>
      <c r="C36" s="198">
        <v>0</v>
      </c>
      <c r="D36" s="225">
        <v>0</v>
      </c>
      <c r="F36" s="4"/>
      <c r="J36" s="4"/>
      <c r="K36" s="4"/>
      <c r="L36" s="216"/>
      <c r="O36" s="4"/>
      <c r="P36" s="4"/>
      <c r="Q36" s="216"/>
      <c r="T36" s="4"/>
      <c r="U36" s="4"/>
      <c r="V36" s="216"/>
      <c r="Y36" s="4"/>
      <c r="Z36" s="4"/>
      <c r="AA36" s="216"/>
      <c r="AD36" s="4"/>
      <c r="AE36" s="4"/>
      <c r="AF36" s="216"/>
      <c r="AI36" s="4"/>
      <c r="AJ36" s="4"/>
      <c r="AK36" s="216"/>
      <c r="AM36" s="4"/>
      <c r="AN36" s="4"/>
      <c r="AO36" s="216"/>
    </row>
    <row r="37" spans="1:41" ht="30">
      <c r="A37" s="799"/>
      <c r="B37" s="61" t="s">
        <v>1452</v>
      </c>
      <c r="C37" s="198">
        <f>SUM(D9:D12)</f>
        <v>22.590000000000003</v>
      </c>
      <c r="D37" s="221">
        <f>SUM(C37)</f>
        <v>22.590000000000003</v>
      </c>
      <c r="F37" s="4"/>
      <c r="J37" s="4"/>
      <c r="K37" s="4"/>
      <c r="L37" s="216"/>
      <c r="O37" s="4"/>
      <c r="P37" s="4"/>
      <c r="Q37" s="216"/>
      <c r="T37" s="4"/>
      <c r="U37" s="4"/>
      <c r="V37" s="216"/>
      <c r="Y37" s="4"/>
      <c r="Z37" s="4"/>
      <c r="AA37" s="216"/>
      <c r="AD37" s="4"/>
      <c r="AE37" s="4"/>
      <c r="AF37" s="216"/>
      <c r="AI37" s="4"/>
      <c r="AJ37" s="4"/>
      <c r="AK37" s="216"/>
      <c r="AM37" s="4"/>
      <c r="AN37" s="4"/>
      <c r="AO37" s="216"/>
    </row>
    <row r="38" spans="1:41">
      <c r="A38" s="96" t="s">
        <v>1373</v>
      </c>
      <c r="B38" s="48"/>
      <c r="C38" s="48">
        <f>SUM(D13:D24)</f>
        <v>57.269999999999996</v>
      </c>
      <c r="D38" s="222">
        <f>SUM(C38)</f>
        <v>57.269999999999996</v>
      </c>
      <c r="L38" s="216"/>
      <c r="Q38" s="216"/>
      <c r="V38" s="216"/>
      <c r="AA38" s="216"/>
      <c r="AF38" s="216"/>
      <c r="AK38" s="216"/>
      <c r="AO38" s="216"/>
    </row>
    <row r="40" spans="1:41">
      <c r="C40">
        <f>SUM(C29,C30,C32,C38,C37)</f>
        <v>211.09</v>
      </c>
    </row>
    <row r="42" spans="1:41" s="207" customFormat="1"/>
    <row r="44" spans="1:41">
      <c r="A44" s="795" t="s">
        <v>1389</v>
      </c>
      <c r="B44" s="795"/>
      <c r="C44" s="795"/>
      <c r="D44" s="795"/>
      <c r="E44" s="795"/>
      <c r="F44" s="795"/>
      <c r="G44" s="795"/>
      <c r="H44" s="795"/>
    </row>
    <row r="45" spans="1:41">
      <c r="B45" s="80"/>
      <c r="D45" s="788" t="s">
        <v>1390</v>
      </c>
      <c r="E45" s="788"/>
      <c r="F45" s="788"/>
      <c r="G45" s="80"/>
      <c r="H45" s="80"/>
    </row>
    <row r="46" spans="1:41">
      <c r="B46" s="80"/>
      <c r="D46" s="787" t="s">
        <v>1391</v>
      </c>
      <c r="E46" s="787"/>
      <c r="F46" s="787"/>
      <c r="G46" s="80"/>
      <c r="H46" s="80"/>
    </row>
    <row r="47" spans="1:41" ht="25.5">
      <c r="B47" s="202" t="s">
        <v>70</v>
      </c>
      <c r="D47" s="202" t="s">
        <v>1392</v>
      </c>
      <c r="E47" s="202" t="s">
        <v>1393</v>
      </c>
      <c r="F47" s="202" t="s">
        <v>1394</v>
      </c>
      <c r="G47" s="202" t="s">
        <v>1395</v>
      </c>
      <c r="H47" s="202" t="s">
        <v>1396</v>
      </c>
      <c r="J47" t="s">
        <v>1445</v>
      </c>
    </row>
    <row r="48" spans="1:41">
      <c r="A48" s="90" t="s">
        <v>613</v>
      </c>
      <c r="B48" s="171" t="s">
        <v>1443</v>
      </c>
      <c r="C48" s="64" t="s">
        <v>249</v>
      </c>
      <c r="D48" s="16">
        <f>(E48+F48*0.5)</f>
        <v>6</v>
      </c>
      <c r="E48" s="16">
        <f>SUMIF('UFCA - ICÓ (SPU)'!$F$4:$F$24,C48,'UFCA - ICÓ (SPU)'!K4:K24)+3</f>
        <v>6</v>
      </c>
      <c r="F48" s="176">
        <v>0</v>
      </c>
      <c r="G48" s="13">
        <v>2</v>
      </c>
      <c r="H48" s="13">
        <v>0</v>
      </c>
      <c r="I48" s="212"/>
      <c r="J48" s="213" t="s">
        <v>1446</v>
      </c>
      <c r="K48" s="213"/>
      <c r="L48" s="212"/>
    </row>
    <row r="49" spans="3:8">
      <c r="C49" s="203" t="s">
        <v>563</v>
      </c>
      <c r="D49" s="204">
        <f>SUM(D48:D48)</f>
        <v>6</v>
      </c>
      <c r="E49" s="204">
        <f>SUM(E48:E48)</f>
        <v>6</v>
      </c>
      <c r="F49" s="204">
        <f>SUM(F48:F48)</f>
        <v>0</v>
      </c>
      <c r="G49" s="204">
        <f>SUM(G48:G48)</f>
        <v>2</v>
      </c>
      <c r="H49" s="204">
        <f>SUM(H48:H48)</f>
        <v>0</v>
      </c>
    </row>
    <row r="105" spans="3:8">
      <c r="C105" s="217"/>
      <c r="D105" s="218"/>
      <c r="E105" s="218"/>
      <c r="F105" s="218"/>
      <c r="G105" s="218"/>
      <c r="H105" s="218"/>
    </row>
  </sheetData>
  <mergeCells count="21">
    <mergeCell ref="D45:F45"/>
    <mergeCell ref="D46:F46"/>
    <mergeCell ref="A13:A24"/>
    <mergeCell ref="B13:B24"/>
    <mergeCell ref="A32:A33"/>
    <mergeCell ref="A34:A37"/>
    <mergeCell ref="A44:H44"/>
    <mergeCell ref="A30:A31"/>
    <mergeCell ref="AM1:AN1"/>
    <mergeCell ref="A4:A5"/>
    <mergeCell ref="A6:A8"/>
    <mergeCell ref="B6:B8"/>
    <mergeCell ref="A9:A12"/>
    <mergeCell ref="B9:B12"/>
    <mergeCell ref="I1:K1"/>
    <mergeCell ref="N1:P1"/>
    <mergeCell ref="S1:U1"/>
    <mergeCell ref="X1:Z1"/>
    <mergeCell ref="AC1:AE1"/>
    <mergeCell ref="AH1:AJ1"/>
    <mergeCell ref="A1:D1"/>
  </mergeCells>
  <pageMargins left="0.511811024" right="0.511811024" top="0.78740157499999996" bottom="0.78740157499999996" header="0.31496062000000002" footer="0.31496062000000002"/>
  <pageSetup paperSize="9" scale="2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10A6-8BDC-4F5C-8010-D44A37D82FAB}">
  <sheetPr>
    <tabColor theme="5" tint="0.59999389629810485"/>
  </sheetPr>
  <dimension ref="A1:A829"/>
  <sheetViews>
    <sheetView workbookViewId="0">
      <selection activeCell="V36" sqref="V36"/>
    </sheetView>
  </sheetViews>
  <sheetFormatPr defaultRowHeight="15"/>
  <cols>
    <col min="1" max="1" width="15.28515625" style="18" customWidth="1"/>
  </cols>
  <sheetData>
    <row r="1" spans="1:1">
      <c r="A1" s="153"/>
    </row>
    <row r="2" spans="1:1">
      <c r="A2" s="267" t="s">
        <v>69</v>
      </c>
    </row>
    <row r="3" spans="1:1">
      <c r="A3" s="109" t="s">
        <v>208</v>
      </c>
    </row>
    <row r="4" spans="1:1">
      <c r="A4" s="13" t="s">
        <v>596</v>
      </c>
    </row>
    <row r="5" spans="1:1">
      <c r="A5" s="13" t="s">
        <v>1364</v>
      </c>
    </row>
    <row r="6" spans="1:1">
      <c r="A6" s="13" t="s">
        <v>249</v>
      </c>
    </row>
    <row r="7" spans="1:1">
      <c r="A7" s="13" t="s">
        <v>192</v>
      </c>
    </row>
    <row r="8" spans="1:1">
      <c r="A8" s="13" t="s">
        <v>27</v>
      </c>
    </row>
    <row r="9" spans="1:1">
      <c r="A9" s="195" t="s">
        <v>1370</v>
      </c>
    </row>
    <row r="10" spans="1:1">
      <c r="A10" s="13" t="s">
        <v>248</v>
      </c>
    </row>
    <row r="11" spans="1:1">
      <c r="A11" s="13" t="s">
        <v>355</v>
      </c>
    </row>
    <row r="12" spans="1:1">
      <c r="A12" s="39" t="s">
        <v>194</v>
      </c>
    </row>
    <row r="13" spans="1:1">
      <c r="A13" s="13" t="s">
        <v>593</v>
      </c>
    </row>
    <row r="14" spans="1:1">
      <c r="A14" s="13" t="s">
        <v>110</v>
      </c>
    </row>
    <row r="15" spans="1:1">
      <c r="A15" s="13" t="s">
        <v>1371</v>
      </c>
    </row>
    <row r="16" spans="1:1">
      <c r="A16" s="70" t="s">
        <v>1313</v>
      </c>
    </row>
    <row r="17" spans="1:1">
      <c r="A17" s="13" t="s">
        <v>109</v>
      </c>
    </row>
    <row r="18" spans="1:1">
      <c r="A18" s="13" t="s">
        <v>211</v>
      </c>
    </row>
    <row r="19" spans="1:1">
      <c r="A19" s="18" t="s">
        <v>595</v>
      </c>
    </row>
    <row r="20" spans="1:1">
      <c r="A20" s="18" t="s">
        <v>594</v>
      </c>
    </row>
    <row r="21" spans="1:1">
      <c r="A21" s="39" t="s">
        <v>1382</v>
      </c>
    </row>
    <row r="22" spans="1:1">
      <c r="A22" s="18" t="s">
        <v>616</v>
      </c>
    </row>
    <row r="23" spans="1:1">
      <c r="A23" s="39" t="s">
        <v>602</v>
      </c>
    </row>
    <row r="24" spans="1:1">
      <c r="A24" s="39" t="s">
        <v>615</v>
      </c>
    </row>
    <row r="25" spans="1:1">
      <c r="A25" s="67" t="s">
        <v>619</v>
      </c>
    </row>
    <row r="26" spans="1:1">
      <c r="A26"/>
    </row>
    <row r="27" spans="1:1">
      <c r="A27"/>
    </row>
    <row r="28" spans="1:1">
      <c r="A28"/>
    </row>
    <row r="29" spans="1:1">
      <c r="A29"/>
    </row>
    <row r="30" spans="1:1">
      <c r="A30"/>
    </row>
    <row r="31" spans="1:1">
      <c r="A31"/>
    </row>
    <row r="32" spans="1:1">
      <c r="A32"/>
    </row>
    <row r="33" spans="1:1">
      <c r="A33"/>
    </row>
    <row r="34" spans="1:1">
      <c r="A34"/>
    </row>
    <row r="35" spans="1:1">
      <c r="A35"/>
    </row>
    <row r="36" spans="1:1">
      <c r="A36"/>
    </row>
    <row r="37" spans="1:1">
      <c r="A37"/>
    </row>
    <row r="38" spans="1:1">
      <c r="A38"/>
    </row>
    <row r="39" spans="1:1">
      <c r="A39"/>
    </row>
    <row r="40" spans="1:1">
      <c r="A40"/>
    </row>
    <row r="41" spans="1:1">
      <c r="A41"/>
    </row>
    <row r="42" spans="1:1">
      <c r="A42"/>
    </row>
    <row r="43" spans="1:1">
      <c r="A43"/>
    </row>
    <row r="44" spans="1:1">
      <c r="A44"/>
    </row>
    <row r="45" spans="1:1">
      <c r="A45"/>
    </row>
    <row r="46" spans="1:1">
      <c r="A46"/>
    </row>
    <row r="47" spans="1:1">
      <c r="A47"/>
    </row>
    <row r="48" spans="1:1">
      <c r="A48"/>
    </row>
    <row r="49" spans="1:1">
      <c r="A49"/>
    </row>
    <row r="50" spans="1:1">
      <c r="A50"/>
    </row>
    <row r="51" spans="1:1">
      <c r="A51"/>
    </row>
    <row r="52" spans="1:1">
      <c r="A52"/>
    </row>
    <row r="53" spans="1:1">
      <c r="A53"/>
    </row>
    <row r="54" spans="1:1">
      <c r="A54"/>
    </row>
    <row r="55" spans="1:1">
      <c r="A55"/>
    </row>
    <row r="56" spans="1:1">
      <c r="A56"/>
    </row>
    <row r="57" spans="1:1">
      <c r="A57"/>
    </row>
    <row r="58" spans="1:1">
      <c r="A58"/>
    </row>
    <row r="59" spans="1:1">
      <c r="A59"/>
    </row>
    <row r="60" spans="1:1">
      <c r="A60"/>
    </row>
    <row r="61" spans="1:1">
      <c r="A61"/>
    </row>
    <row r="62" spans="1:1">
      <c r="A62"/>
    </row>
    <row r="63" spans="1:1">
      <c r="A63"/>
    </row>
    <row r="64" spans="1:1">
      <c r="A64"/>
    </row>
    <row r="65" spans="1:1">
      <c r="A65"/>
    </row>
    <row r="66" spans="1:1">
      <c r="A66"/>
    </row>
    <row r="67" spans="1:1">
      <c r="A67"/>
    </row>
    <row r="68" spans="1:1">
      <c r="A68"/>
    </row>
    <row r="69" spans="1:1">
      <c r="A69"/>
    </row>
    <row r="70" spans="1:1">
      <c r="A70"/>
    </row>
    <row r="71" spans="1:1">
      <c r="A71"/>
    </row>
    <row r="72" spans="1:1">
      <c r="A72"/>
    </row>
    <row r="73" spans="1:1">
      <c r="A73"/>
    </row>
    <row r="74" spans="1:1">
      <c r="A74"/>
    </row>
    <row r="75" spans="1:1">
      <c r="A75"/>
    </row>
    <row r="76" spans="1:1">
      <c r="A76"/>
    </row>
    <row r="77" spans="1:1">
      <c r="A77"/>
    </row>
    <row r="78" spans="1:1">
      <c r="A78"/>
    </row>
    <row r="79" spans="1:1">
      <c r="A79"/>
    </row>
    <row r="80" spans="1:1">
      <c r="A80"/>
    </row>
    <row r="81" spans="1:1">
      <c r="A81"/>
    </row>
    <row r="82" spans="1:1">
      <c r="A82"/>
    </row>
    <row r="83" spans="1:1">
      <c r="A83"/>
    </row>
    <row r="84" spans="1:1">
      <c r="A84"/>
    </row>
    <row r="85" spans="1:1">
      <c r="A85"/>
    </row>
    <row r="86" spans="1:1">
      <c r="A86"/>
    </row>
    <row r="87" spans="1:1">
      <c r="A87"/>
    </row>
    <row r="88" spans="1:1">
      <c r="A88"/>
    </row>
    <row r="89" spans="1:1">
      <c r="A89"/>
    </row>
    <row r="90" spans="1:1">
      <c r="A90"/>
    </row>
    <row r="91" spans="1:1">
      <c r="A91"/>
    </row>
    <row r="92" spans="1:1">
      <c r="A92"/>
    </row>
    <row r="93" spans="1:1">
      <c r="A93"/>
    </row>
    <row r="94" spans="1:1">
      <c r="A94"/>
    </row>
    <row r="95" spans="1:1">
      <c r="A95"/>
    </row>
    <row r="96" spans="1:1">
      <c r="A96"/>
    </row>
    <row r="97" spans="1:1">
      <c r="A97"/>
    </row>
    <row r="98" spans="1:1">
      <c r="A98"/>
    </row>
    <row r="99" spans="1:1">
      <c r="A99"/>
    </row>
    <row r="100" spans="1:1">
      <c r="A100"/>
    </row>
    <row r="101" spans="1:1">
      <c r="A101"/>
    </row>
    <row r="102" spans="1:1">
      <c r="A102"/>
    </row>
    <row r="103" spans="1:1">
      <c r="A103"/>
    </row>
    <row r="104" spans="1:1">
      <c r="A104"/>
    </row>
    <row r="105" spans="1:1">
      <c r="A105"/>
    </row>
    <row r="106" spans="1:1">
      <c r="A106"/>
    </row>
    <row r="107" spans="1:1">
      <c r="A107"/>
    </row>
    <row r="108" spans="1:1">
      <c r="A108"/>
    </row>
    <row r="109" spans="1:1">
      <c r="A109"/>
    </row>
    <row r="110" spans="1:1">
      <c r="A110"/>
    </row>
    <row r="111" spans="1:1">
      <c r="A111"/>
    </row>
    <row r="112" spans="1:1">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row r="128" spans="1:1">
      <c r="A128"/>
    </row>
    <row r="129" spans="1:1">
      <c r="A129"/>
    </row>
    <row r="130" spans="1:1">
      <c r="A130"/>
    </row>
    <row r="131" spans="1:1">
      <c r="A131"/>
    </row>
    <row r="132" spans="1:1">
      <c r="A132"/>
    </row>
    <row r="133" spans="1:1">
      <c r="A133"/>
    </row>
    <row r="134" spans="1:1">
      <c r="A134"/>
    </row>
    <row r="135" spans="1:1">
      <c r="A135"/>
    </row>
    <row r="136" spans="1:1">
      <c r="A136"/>
    </row>
    <row r="137" spans="1:1">
      <c r="A137"/>
    </row>
    <row r="138" spans="1:1">
      <c r="A138"/>
    </row>
    <row r="139" spans="1:1">
      <c r="A139"/>
    </row>
    <row r="140" spans="1:1">
      <c r="A140"/>
    </row>
    <row r="141" spans="1:1">
      <c r="A141"/>
    </row>
    <row r="142" spans="1:1">
      <c r="A142"/>
    </row>
    <row r="143" spans="1:1">
      <c r="A143"/>
    </row>
    <row r="144" spans="1:1">
      <c r="A144"/>
    </row>
    <row r="145" spans="1:1">
      <c r="A145"/>
    </row>
    <row r="146" spans="1:1">
      <c r="A146"/>
    </row>
    <row r="147" spans="1:1">
      <c r="A147"/>
    </row>
    <row r="148" spans="1:1">
      <c r="A148"/>
    </row>
    <row r="149" spans="1:1">
      <c r="A149"/>
    </row>
    <row r="150" spans="1:1">
      <c r="A150"/>
    </row>
    <row r="151" spans="1:1">
      <c r="A151"/>
    </row>
    <row r="152" spans="1:1">
      <c r="A152"/>
    </row>
    <row r="153" spans="1:1">
      <c r="A153"/>
    </row>
    <row r="154" spans="1:1">
      <c r="A154"/>
    </row>
    <row r="155" spans="1:1">
      <c r="A155"/>
    </row>
    <row r="156" spans="1:1">
      <c r="A156"/>
    </row>
    <row r="157" spans="1:1">
      <c r="A157"/>
    </row>
    <row r="158" spans="1:1">
      <c r="A158"/>
    </row>
    <row r="159" spans="1:1">
      <c r="A159"/>
    </row>
    <row r="160" spans="1:1">
      <c r="A160"/>
    </row>
    <row r="161" spans="1:1">
      <c r="A161"/>
    </row>
    <row r="162" spans="1:1">
      <c r="A162"/>
    </row>
    <row r="163" spans="1:1">
      <c r="A163"/>
    </row>
    <row r="164" spans="1:1">
      <c r="A164"/>
    </row>
    <row r="165" spans="1:1">
      <c r="A165"/>
    </row>
    <row r="166" spans="1:1">
      <c r="A166"/>
    </row>
    <row r="167" spans="1:1">
      <c r="A167"/>
    </row>
    <row r="168" spans="1:1">
      <c r="A168"/>
    </row>
    <row r="169" spans="1:1">
      <c r="A169"/>
    </row>
    <row r="170" spans="1:1">
      <c r="A170"/>
    </row>
    <row r="171" spans="1:1">
      <c r="A171"/>
    </row>
    <row r="172" spans="1:1">
      <c r="A172"/>
    </row>
    <row r="173" spans="1:1">
      <c r="A173"/>
    </row>
    <row r="174" spans="1:1">
      <c r="A174"/>
    </row>
    <row r="175" spans="1:1">
      <c r="A175"/>
    </row>
    <row r="176" spans="1:1">
      <c r="A176"/>
    </row>
    <row r="177" spans="1:1">
      <c r="A177"/>
    </row>
    <row r="178" spans="1:1">
      <c r="A178"/>
    </row>
    <row r="179" spans="1:1">
      <c r="A179"/>
    </row>
    <row r="180" spans="1:1">
      <c r="A180"/>
    </row>
    <row r="181" spans="1:1">
      <c r="A181"/>
    </row>
    <row r="182" spans="1:1">
      <c r="A182"/>
    </row>
    <row r="183" spans="1:1">
      <c r="A183"/>
    </row>
    <row r="184" spans="1:1">
      <c r="A184"/>
    </row>
    <row r="185" spans="1:1">
      <c r="A185"/>
    </row>
    <row r="186" spans="1:1">
      <c r="A186"/>
    </row>
    <row r="187" spans="1:1">
      <c r="A187"/>
    </row>
    <row r="188" spans="1:1">
      <c r="A188"/>
    </row>
    <row r="189" spans="1:1">
      <c r="A189"/>
    </row>
    <row r="190" spans="1:1">
      <c r="A190"/>
    </row>
    <row r="191" spans="1:1">
      <c r="A191"/>
    </row>
    <row r="192" spans="1:1">
      <c r="A192"/>
    </row>
    <row r="193" spans="1:1">
      <c r="A193"/>
    </row>
    <row r="194" spans="1:1">
      <c r="A194"/>
    </row>
    <row r="195" spans="1:1">
      <c r="A195"/>
    </row>
    <row r="196" spans="1:1">
      <c r="A196"/>
    </row>
    <row r="197" spans="1:1">
      <c r="A197"/>
    </row>
    <row r="198" spans="1:1">
      <c r="A198"/>
    </row>
    <row r="199" spans="1:1">
      <c r="A199"/>
    </row>
    <row r="200" spans="1:1">
      <c r="A200"/>
    </row>
    <row r="201" spans="1:1">
      <c r="A201"/>
    </row>
    <row r="202" spans="1:1">
      <c r="A202"/>
    </row>
    <row r="203" spans="1:1">
      <c r="A203"/>
    </row>
    <row r="204" spans="1:1">
      <c r="A204"/>
    </row>
    <row r="205" spans="1:1">
      <c r="A205"/>
    </row>
    <row r="206" spans="1:1">
      <c r="A206"/>
    </row>
    <row r="207" spans="1:1">
      <c r="A207"/>
    </row>
    <row r="208" spans="1:1">
      <c r="A208"/>
    </row>
    <row r="209" spans="1:1">
      <c r="A209"/>
    </row>
    <row r="210" spans="1:1">
      <c r="A210"/>
    </row>
    <row r="211" spans="1:1">
      <c r="A211"/>
    </row>
    <row r="212" spans="1:1">
      <c r="A212"/>
    </row>
    <row r="213" spans="1:1">
      <c r="A213"/>
    </row>
    <row r="214" spans="1:1">
      <c r="A214"/>
    </row>
    <row r="215" spans="1:1">
      <c r="A215"/>
    </row>
    <row r="216" spans="1:1">
      <c r="A216"/>
    </row>
    <row r="217" spans="1:1">
      <c r="A217"/>
    </row>
    <row r="218" spans="1:1">
      <c r="A218"/>
    </row>
    <row r="219" spans="1:1">
      <c r="A219"/>
    </row>
    <row r="220" spans="1:1">
      <c r="A220"/>
    </row>
    <row r="221" spans="1:1">
      <c r="A221"/>
    </row>
    <row r="222" spans="1:1">
      <c r="A222"/>
    </row>
    <row r="223" spans="1:1">
      <c r="A223"/>
    </row>
    <row r="224" spans="1:1">
      <c r="A224"/>
    </row>
    <row r="225" spans="1:1">
      <c r="A225"/>
    </row>
    <row r="226" spans="1:1">
      <c r="A226"/>
    </row>
    <row r="227" spans="1:1">
      <c r="A227"/>
    </row>
    <row r="228" spans="1:1">
      <c r="A228"/>
    </row>
    <row r="229" spans="1:1">
      <c r="A229"/>
    </row>
    <row r="230" spans="1:1">
      <c r="A230"/>
    </row>
    <row r="231" spans="1:1">
      <c r="A231"/>
    </row>
    <row r="232" spans="1:1">
      <c r="A232"/>
    </row>
    <row r="233" spans="1:1">
      <c r="A233"/>
    </row>
    <row r="234" spans="1:1">
      <c r="A234"/>
    </row>
    <row r="235" spans="1:1">
      <c r="A235"/>
    </row>
    <row r="236" spans="1:1">
      <c r="A236"/>
    </row>
    <row r="237" spans="1:1">
      <c r="A237"/>
    </row>
    <row r="238" spans="1:1">
      <c r="A238"/>
    </row>
    <row r="239" spans="1:1">
      <c r="A239"/>
    </row>
    <row r="240" spans="1:1">
      <c r="A240"/>
    </row>
    <row r="241" spans="1:1">
      <c r="A241"/>
    </row>
    <row r="242" spans="1:1">
      <c r="A242"/>
    </row>
    <row r="243" spans="1:1">
      <c r="A243"/>
    </row>
    <row r="244" spans="1:1">
      <c r="A244"/>
    </row>
    <row r="245" spans="1:1">
      <c r="A245"/>
    </row>
    <row r="246" spans="1:1">
      <c r="A246"/>
    </row>
    <row r="247" spans="1:1">
      <c r="A247"/>
    </row>
    <row r="248" spans="1:1">
      <c r="A248"/>
    </row>
    <row r="249" spans="1:1">
      <c r="A249"/>
    </row>
    <row r="250" spans="1:1">
      <c r="A250"/>
    </row>
    <row r="251" spans="1:1">
      <c r="A251"/>
    </row>
    <row r="252" spans="1:1">
      <c r="A252"/>
    </row>
    <row r="253" spans="1:1">
      <c r="A253"/>
    </row>
    <row r="254" spans="1:1">
      <c r="A254"/>
    </row>
    <row r="255" spans="1:1">
      <c r="A255"/>
    </row>
    <row r="256" spans="1:1">
      <c r="A256"/>
    </row>
    <row r="257" spans="1:1">
      <c r="A257"/>
    </row>
    <row r="258" spans="1:1">
      <c r="A258"/>
    </row>
    <row r="259" spans="1:1">
      <c r="A259"/>
    </row>
    <row r="260" spans="1:1">
      <c r="A260"/>
    </row>
    <row r="261" spans="1:1">
      <c r="A261"/>
    </row>
    <row r="262" spans="1:1">
      <c r="A262"/>
    </row>
    <row r="263" spans="1:1">
      <c r="A263"/>
    </row>
    <row r="264" spans="1:1">
      <c r="A264"/>
    </row>
    <row r="265" spans="1:1">
      <c r="A265"/>
    </row>
    <row r="266" spans="1:1">
      <c r="A266"/>
    </row>
    <row r="267" spans="1:1">
      <c r="A267"/>
    </row>
    <row r="268" spans="1:1">
      <c r="A268"/>
    </row>
    <row r="269" spans="1:1">
      <c r="A269"/>
    </row>
    <row r="270" spans="1:1">
      <c r="A270"/>
    </row>
    <row r="271" spans="1:1">
      <c r="A271"/>
    </row>
    <row r="272" spans="1:1">
      <c r="A272"/>
    </row>
    <row r="273" spans="1:1">
      <c r="A273"/>
    </row>
    <row r="274" spans="1:1">
      <c r="A274"/>
    </row>
    <row r="275" spans="1:1">
      <c r="A275"/>
    </row>
    <row r="276" spans="1:1">
      <c r="A276"/>
    </row>
    <row r="277" spans="1:1">
      <c r="A277"/>
    </row>
    <row r="278" spans="1:1">
      <c r="A278"/>
    </row>
    <row r="279" spans="1:1">
      <c r="A279"/>
    </row>
    <row r="280" spans="1:1">
      <c r="A280"/>
    </row>
    <row r="281" spans="1:1">
      <c r="A281"/>
    </row>
    <row r="282" spans="1:1">
      <c r="A282"/>
    </row>
    <row r="283" spans="1:1">
      <c r="A283"/>
    </row>
    <row r="284" spans="1:1">
      <c r="A284"/>
    </row>
    <row r="285" spans="1:1">
      <c r="A285"/>
    </row>
    <row r="286" spans="1:1">
      <c r="A286"/>
    </row>
    <row r="287" spans="1:1">
      <c r="A287"/>
    </row>
    <row r="288" spans="1:1">
      <c r="A288"/>
    </row>
    <row r="289" spans="1:1">
      <c r="A289"/>
    </row>
    <row r="290" spans="1:1">
      <c r="A290"/>
    </row>
    <row r="291" spans="1:1">
      <c r="A291"/>
    </row>
    <row r="292" spans="1:1">
      <c r="A292"/>
    </row>
    <row r="293" spans="1:1">
      <c r="A293"/>
    </row>
    <row r="294" spans="1:1">
      <c r="A294"/>
    </row>
    <row r="295" spans="1:1">
      <c r="A295"/>
    </row>
    <row r="296" spans="1:1">
      <c r="A296"/>
    </row>
    <row r="297" spans="1:1">
      <c r="A297"/>
    </row>
    <row r="298" spans="1:1">
      <c r="A298"/>
    </row>
    <row r="299" spans="1:1">
      <c r="A299"/>
    </row>
    <row r="300" spans="1:1">
      <c r="A300"/>
    </row>
    <row r="301" spans="1:1">
      <c r="A301"/>
    </row>
    <row r="302" spans="1:1">
      <c r="A302"/>
    </row>
    <row r="303" spans="1:1">
      <c r="A303"/>
    </row>
    <row r="304" spans="1:1">
      <c r="A304"/>
    </row>
    <row r="305" spans="1:1">
      <c r="A305"/>
    </row>
    <row r="306" spans="1:1">
      <c r="A306"/>
    </row>
    <row r="307" spans="1:1">
      <c r="A307"/>
    </row>
    <row r="308" spans="1:1">
      <c r="A308"/>
    </row>
    <row r="309" spans="1:1">
      <c r="A309"/>
    </row>
    <row r="310" spans="1:1">
      <c r="A310"/>
    </row>
    <row r="311" spans="1:1">
      <c r="A311"/>
    </row>
    <row r="312" spans="1:1">
      <c r="A312"/>
    </row>
    <row r="313" spans="1:1">
      <c r="A313"/>
    </row>
    <row r="314" spans="1:1">
      <c r="A314"/>
    </row>
    <row r="315" spans="1:1">
      <c r="A315"/>
    </row>
    <row r="316" spans="1:1">
      <c r="A316"/>
    </row>
    <row r="317" spans="1:1">
      <c r="A317"/>
    </row>
    <row r="318" spans="1:1">
      <c r="A318"/>
    </row>
    <row r="319" spans="1:1">
      <c r="A319"/>
    </row>
    <row r="320" spans="1:1">
      <c r="A320"/>
    </row>
    <row r="321" spans="1:1">
      <c r="A321"/>
    </row>
    <row r="322" spans="1:1">
      <c r="A322"/>
    </row>
    <row r="323" spans="1:1">
      <c r="A323"/>
    </row>
    <row r="324" spans="1:1">
      <c r="A324"/>
    </row>
    <row r="325" spans="1:1">
      <c r="A325"/>
    </row>
    <row r="326" spans="1:1">
      <c r="A326"/>
    </row>
    <row r="327" spans="1:1">
      <c r="A327"/>
    </row>
    <row r="328" spans="1:1">
      <c r="A328"/>
    </row>
    <row r="329" spans="1:1">
      <c r="A329"/>
    </row>
    <row r="330" spans="1:1">
      <c r="A330"/>
    </row>
    <row r="331" spans="1:1">
      <c r="A331"/>
    </row>
    <row r="332" spans="1:1">
      <c r="A332"/>
    </row>
    <row r="333" spans="1:1">
      <c r="A333"/>
    </row>
    <row r="334" spans="1:1">
      <c r="A334"/>
    </row>
    <row r="335" spans="1:1">
      <c r="A335"/>
    </row>
    <row r="336" spans="1:1">
      <c r="A336"/>
    </row>
    <row r="337" spans="1:1">
      <c r="A337"/>
    </row>
    <row r="338" spans="1:1">
      <c r="A338"/>
    </row>
    <row r="339" spans="1:1">
      <c r="A339"/>
    </row>
    <row r="340" spans="1:1">
      <c r="A340"/>
    </row>
    <row r="341" spans="1:1">
      <c r="A341"/>
    </row>
    <row r="342" spans="1:1">
      <c r="A342"/>
    </row>
    <row r="343" spans="1:1">
      <c r="A343"/>
    </row>
    <row r="344" spans="1:1">
      <c r="A344"/>
    </row>
    <row r="345" spans="1:1">
      <c r="A345"/>
    </row>
    <row r="346" spans="1:1">
      <c r="A346"/>
    </row>
    <row r="347" spans="1:1">
      <c r="A347"/>
    </row>
    <row r="348" spans="1:1">
      <c r="A348"/>
    </row>
    <row r="349" spans="1:1">
      <c r="A349"/>
    </row>
    <row r="350" spans="1:1">
      <c r="A350"/>
    </row>
    <row r="351" spans="1:1">
      <c r="A351"/>
    </row>
    <row r="352" spans="1:1">
      <c r="A352"/>
    </row>
    <row r="353" spans="1:1">
      <c r="A353"/>
    </row>
    <row r="354" spans="1:1">
      <c r="A354"/>
    </row>
    <row r="355" spans="1:1">
      <c r="A355"/>
    </row>
    <row r="356" spans="1:1">
      <c r="A356"/>
    </row>
    <row r="357" spans="1:1">
      <c r="A357"/>
    </row>
    <row r="358" spans="1:1">
      <c r="A358"/>
    </row>
    <row r="359" spans="1:1">
      <c r="A359"/>
    </row>
    <row r="360" spans="1:1">
      <c r="A360"/>
    </row>
    <row r="361" spans="1:1">
      <c r="A361"/>
    </row>
    <row r="362" spans="1:1">
      <c r="A362"/>
    </row>
    <row r="363" spans="1:1">
      <c r="A363"/>
    </row>
    <row r="364" spans="1:1">
      <c r="A364"/>
    </row>
    <row r="365" spans="1:1">
      <c r="A365"/>
    </row>
    <row r="366" spans="1:1">
      <c r="A366"/>
    </row>
    <row r="367" spans="1:1">
      <c r="A367"/>
    </row>
    <row r="368" spans="1:1">
      <c r="A368"/>
    </row>
    <row r="369" spans="1:1">
      <c r="A369"/>
    </row>
    <row r="370" spans="1:1">
      <c r="A370"/>
    </row>
    <row r="371" spans="1:1">
      <c r="A371"/>
    </row>
    <row r="372" spans="1:1">
      <c r="A372"/>
    </row>
    <row r="373" spans="1:1">
      <c r="A373"/>
    </row>
    <row r="374" spans="1:1">
      <c r="A374"/>
    </row>
    <row r="375" spans="1:1">
      <c r="A375"/>
    </row>
    <row r="376" spans="1:1">
      <c r="A376"/>
    </row>
    <row r="377" spans="1:1">
      <c r="A377"/>
    </row>
    <row r="378" spans="1:1">
      <c r="A378"/>
    </row>
    <row r="379" spans="1:1">
      <c r="A379"/>
    </row>
    <row r="380" spans="1:1">
      <c r="A380"/>
    </row>
    <row r="381" spans="1:1">
      <c r="A381"/>
    </row>
    <row r="382" spans="1:1">
      <c r="A382"/>
    </row>
    <row r="383" spans="1:1">
      <c r="A383"/>
    </row>
    <row r="384" spans="1:1">
      <c r="A384"/>
    </row>
    <row r="385" spans="1:1">
      <c r="A385"/>
    </row>
    <row r="386" spans="1:1">
      <c r="A386"/>
    </row>
    <row r="387" spans="1:1">
      <c r="A387"/>
    </row>
    <row r="388" spans="1:1">
      <c r="A388"/>
    </row>
    <row r="389" spans="1:1">
      <c r="A389"/>
    </row>
    <row r="390" spans="1:1">
      <c r="A390"/>
    </row>
    <row r="391" spans="1:1">
      <c r="A391"/>
    </row>
    <row r="392" spans="1:1">
      <c r="A392"/>
    </row>
    <row r="393" spans="1:1">
      <c r="A393"/>
    </row>
    <row r="394" spans="1:1">
      <c r="A394"/>
    </row>
    <row r="395" spans="1:1">
      <c r="A395"/>
    </row>
    <row r="396" spans="1:1">
      <c r="A396"/>
    </row>
    <row r="397" spans="1:1">
      <c r="A397"/>
    </row>
    <row r="398" spans="1:1">
      <c r="A398"/>
    </row>
    <row r="399" spans="1:1">
      <c r="A399"/>
    </row>
    <row r="400" spans="1:1">
      <c r="A400"/>
    </row>
    <row r="401" spans="1:1">
      <c r="A401"/>
    </row>
    <row r="402" spans="1:1">
      <c r="A402"/>
    </row>
    <row r="403" spans="1:1">
      <c r="A403"/>
    </row>
    <row r="404" spans="1:1">
      <c r="A404"/>
    </row>
    <row r="405" spans="1:1">
      <c r="A405"/>
    </row>
    <row r="406" spans="1:1">
      <c r="A406"/>
    </row>
    <row r="407" spans="1:1">
      <c r="A407"/>
    </row>
    <row r="408" spans="1:1">
      <c r="A408"/>
    </row>
    <row r="409" spans="1:1">
      <c r="A409"/>
    </row>
    <row r="410" spans="1:1">
      <c r="A410"/>
    </row>
    <row r="411" spans="1:1">
      <c r="A411"/>
    </row>
    <row r="412" spans="1:1">
      <c r="A412"/>
    </row>
    <row r="413" spans="1:1">
      <c r="A413"/>
    </row>
    <row r="414" spans="1:1">
      <c r="A414"/>
    </row>
    <row r="415" spans="1:1">
      <c r="A415"/>
    </row>
    <row r="416" spans="1:1">
      <c r="A416"/>
    </row>
    <row r="417" spans="1:1">
      <c r="A417"/>
    </row>
    <row r="418" spans="1:1">
      <c r="A418"/>
    </row>
    <row r="419" spans="1:1">
      <c r="A419"/>
    </row>
    <row r="420" spans="1:1">
      <c r="A420"/>
    </row>
    <row r="421" spans="1:1">
      <c r="A421"/>
    </row>
    <row r="422" spans="1:1">
      <c r="A422"/>
    </row>
    <row r="423" spans="1:1">
      <c r="A423"/>
    </row>
    <row r="424" spans="1:1">
      <c r="A424"/>
    </row>
    <row r="425" spans="1:1">
      <c r="A425"/>
    </row>
    <row r="426" spans="1:1">
      <c r="A426"/>
    </row>
    <row r="427" spans="1:1">
      <c r="A427"/>
    </row>
    <row r="428" spans="1:1">
      <c r="A428"/>
    </row>
    <row r="429" spans="1:1">
      <c r="A429"/>
    </row>
    <row r="430" spans="1:1">
      <c r="A430"/>
    </row>
    <row r="431" spans="1:1">
      <c r="A431"/>
    </row>
    <row r="432" spans="1:1">
      <c r="A432"/>
    </row>
    <row r="433" spans="1:1">
      <c r="A433"/>
    </row>
    <row r="434" spans="1:1">
      <c r="A434"/>
    </row>
    <row r="435" spans="1:1">
      <c r="A435"/>
    </row>
    <row r="436" spans="1:1">
      <c r="A436"/>
    </row>
    <row r="437" spans="1:1">
      <c r="A437"/>
    </row>
    <row r="438" spans="1:1">
      <c r="A438"/>
    </row>
    <row r="439" spans="1:1">
      <c r="A439"/>
    </row>
    <row r="440" spans="1:1">
      <c r="A440"/>
    </row>
    <row r="441" spans="1:1">
      <c r="A441"/>
    </row>
    <row r="442" spans="1:1">
      <c r="A442"/>
    </row>
    <row r="443" spans="1:1">
      <c r="A443"/>
    </row>
    <row r="444" spans="1:1">
      <c r="A444"/>
    </row>
    <row r="445" spans="1:1">
      <c r="A445"/>
    </row>
    <row r="446" spans="1:1">
      <c r="A446"/>
    </row>
    <row r="447" spans="1:1">
      <c r="A447"/>
    </row>
    <row r="448" spans="1:1">
      <c r="A448"/>
    </row>
    <row r="449" spans="1:1">
      <c r="A449"/>
    </row>
    <row r="450" spans="1:1">
      <c r="A450"/>
    </row>
    <row r="451" spans="1:1">
      <c r="A451"/>
    </row>
    <row r="452" spans="1:1">
      <c r="A452"/>
    </row>
    <row r="453" spans="1:1">
      <c r="A453"/>
    </row>
    <row r="454" spans="1:1">
      <c r="A454"/>
    </row>
    <row r="455" spans="1:1">
      <c r="A455"/>
    </row>
    <row r="456" spans="1:1">
      <c r="A456"/>
    </row>
    <row r="457" spans="1:1">
      <c r="A457"/>
    </row>
    <row r="458" spans="1:1">
      <c r="A458"/>
    </row>
    <row r="459" spans="1:1">
      <c r="A459"/>
    </row>
    <row r="460" spans="1:1">
      <c r="A460"/>
    </row>
    <row r="461" spans="1:1">
      <c r="A461"/>
    </row>
    <row r="462" spans="1:1">
      <c r="A462"/>
    </row>
    <row r="463" spans="1:1">
      <c r="A463"/>
    </row>
    <row r="464" spans="1:1">
      <c r="A464"/>
    </row>
    <row r="465" spans="1:1">
      <c r="A465"/>
    </row>
    <row r="466" spans="1:1">
      <c r="A466"/>
    </row>
    <row r="467" spans="1:1">
      <c r="A467"/>
    </row>
    <row r="468" spans="1:1">
      <c r="A468"/>
    </row>
    <row r="469" spans="1:1">
      <c r="A469"/>
    </row>
    <row r="470" spans="1:1">
      <c r="A470"/>
    </row>
    <row r="471" spans="1:1">
      <c r="A471"/>
    </row>
    <row r="472" spans="1:1">
      <c r="A472"/>
    </row>
    <row r="473" spans="1:1">
      <c r="A473"/>
    </row>
    <row r="474" spans="1:1">
      <c r="A474"/>
    </row>
    <row r="475" spans="1:1">
      <c r="A475"/>
    </row>
    <row r="476" spans="1:1">
      <c r="A476"/>
    </row>
    <row r="477" spans="1:1">
      <c r="A477"/>
    </row>
    <row r="478" spans="1:1">
      <c r="A478"/>
    </row>
    <row r="479" spans="1:1">
      <c r="A479"/>
    </row>
    <row r="480" spans="1:1">
      <c r="A480"/>
    </row>
    <row r="481" spans="1:1">
      <c r="A481"/>
    </row>
    <row r="482" spans="1:1">
      <c r="A482"/>
    </row>
    <row r="483" spans="1:1">
      <c r="A483"/>
    </row>
    <row r="484" spans="1:1">
      <c r="A484"/>
    </row>
    <row r="485" spans="1:1">
      <c r="A485"/>
    </row>
    <row r="486" spans="1:1">
      <c r="A486"/>
    </row>
    <row r="487" spans="1:1">
      <c r="A487"/>
    </row>
    <row r="488" spans="1:1">
      <c r="A488"/>
    </row>
    <row r="489" spans="1:1">
      <c r="A489"/>
    </row>
    <row r="490" spans="1:1">
      <c r="A490"/>
    </row>
    <row r="491" spans="1:1">
      <c r="A491"/>
    </row>
    <row r="492" spans="1:1">
      <c r="A492"/>
    </row>
    <row r="493" spans="1:1">
      <c r="A493"/>
    </row>
    <row r="494" spans="1:1">
      <c r="A494"/>
    </row>
    <row r="495" spans="1:1">
      <c r="A495"/>
    </row>
    <row r="496" spans="1:1">
      <c r="A496"/>
    </row>
    <row r="497" spans="1:1">
      <c r="A497"/>
    </row>
    <row r="498" spans="1:1">
      <c r="A498"/>
    </row>
    <row r="499" spans="1:1">
      <c r="A499"/>
    </row>
    <row r="500" spans="1:1">
      <c r="A500"/>
    </row>
    <row r="501" spans="1:1">
      <c r="A501"/>
    </row>
    <row r="502" spans="1:1">
      <c r="A502"/>
    </row>
    <row r="503" spans="1:1">
      <c r="A503"/>
    </row>
    <row r="504" spans="1:1">
      <c r="A504"/>
    </row>
    <row r="505" spans="1:1">
      <c r="A505"/>
    </row>
    <row r="506" spans="1:1">
      <c r="A506"/>
    </row>
    <row r="507" spans="1:1">
      <c r="A507"/>
    </row>
    <row r="508" spans="1:1">
      <c r="A508"/>
    </row>
    <row r="509" spans="1:1">
      <c r="A509"/>
    </row>
    <row r="510" spans="1:1">
      <c r="A510"/>
    </row>
    <row r="511" spans="1:1">
      <c r="A511"/>
    </row>
    <row r="512" spans="1:1">
      <c r="A512"/>
    </row>
    <row r="513" spans="1:1">
      <c r="A513"/>
    </row>
    <row r="514" spans="1:1">
      <c r="A514"/>
    </row>
    <row r="515" spans="1:1">
      <c r="A515"/>
    </row>
    <row r="516" spans="1:1">
      <c r="A516"/>
    </row>
    <row r="517" spans="1:1">
      <c r="A517"/>
    </row>
    <row r="518" spans="1:1">
      <c r="A518"/>
    </row>
    <row r="519" spans="1:1">
      <c r="A519"/>
    </row>
    <row r="520" spans="1:1">
      <c r="A520"/>
    </row>
    <row r="521" spans="1:1">
      <c r="A521"/>
    </row>
    <row r="522" spans="1:1">
      <c r="A522"/>
    </row>
    <row r="523" spans="1:1">
      <c r="A523"/>
    </row>
    <row r="524" spans="1:1">
      <c r="A524"/>
    </row>
    <row r="525" spans="1:1">
      <c r="A525"/>
    </row>
    <row r="526" spans="1:1">
      <c r="A526"/>
    </row>
    <row r="527" spans="1:1">
      <c r="A527"/>
    </row>
    <row r="528" spans="1:1">
      <c r="A528"/>
    </row>
    <row r="529" spans="1:1">
      <c r="A529"/>
    </row>
    <row r="530" spans="1:1">
      <c r="A530"/>
    </row>
    <row r="531" spans="1:1">
      <c r="A531"/>
    </row>
    <row r="532" spans="1:1">
      <c r="A532"/>
    </row>
    <row r="533" spans="1:1">
      <c r="A533"/>
    </row>
    <row r="534" spans="1:1">
      <c r="A534"/>
    </row>
    <row r="535" spans="1:1">
      <c r="A535"/>
    </row>
    <row r="536" spans="1:1">
      <c r="A536"/>
    </row>
    <row r="537" spans="1:1">
      <c r="A537"/>
    </row>
    <row r="538" spans="1:1">
      <c r="A538"/>
    </row>
    <row r="539" spans="1:1">
      <c r="A539"/>
    </row>
    <row r="540" spans="1:1">
      <c r="A540"/>
    </row>
    <row r="541" spans="1:1">
      <c r="A541"/>
    </row>
    <row r="542" spans="1:1">
      <c r="A542"/>
    </row>
    <row r="543" spans="1:1">
      <c r="A543"/>
    </row>
    <row r="544" spans="1:1">
      <c r="A544"/>
    </row>
    <row r="545" spans="1:1">
      <c r="A545"/>
    </row>
    <row r="546" spans="1:1">
      <c r="A546"/>
    </row>
    <row r="547" spans="1:1">
      <c r="A547"/>
    </row>
    <row r="548" spans="1:1">
      <c r="A548"/>
    </row>
    <row r="549" spans="1:1">
      <c r="A549"/>
    </row>
    <row r="550" spans="1:1">
      <c r="A550"/>
    </row>
    <row r="551" spans="1:1">
      <c r="A551"/>
    </row>
    <row r="552" spans="1:1">
      <c r="A552"/>
    </row>
    <row r="553" spans="1:1">
      <c r="A553"/>
    </row>
    <row r="554" spans="1:1">
      <c r="A554"/>
    </row>
    <row r="555" spans="1:1">
      <c r="A555"/>
    </row>
    <row r="556" spans="1:1">
      <c r="A556"/>
    </row>
    <row r="557" spans="1:1">
      <c r="A557"/>
    </row>
    <row r="558" spans="1:1">
      <c r="A558"/>
    </row>
    <row r="559" spans="1:1">
      <c r="A559"/>
    </row>
    <row r="560" spans="1:1">
      <c r="A560"/>
    </row>
    <row r="561" spans="1:1">
      <c r="A561"/>
    </row>
    <row r="562" spans="1:1">
      <c r="A562"/>
    </row>
    <row r="563" spans="1:1">
      <c r="A563"/>
    </row>
    <row r="564" spans="1:1">
      <c r="A564"/>
    </row>
    <row r="565" spans="1:1">
      <c r="A565"/>
    </row>
    <row r="566" spans="1:1">
      <c r="A566"/>
    </row>
    <row r="567" spans="1:1">
      <c r="A567"/>
    </row>
    <row r="568" spans="1:1">
      <c r="A568"/>
    </row>
    <row r="569" spans="1:1">
      <c r="A569"/>
    </row>
    <row r="570" spans="1:1">
      <c r="A570"/>
    </row>
    <row r="571" spans="1:1">
      <c r="A571"/>
    </row>
    <row r="572" spans="1:1">
      <c r="A572"/>
    </row>
    <row r="573" spans="1:1">
      <c r="A573"/>
    </row>
    <row r="574" spans="1:1">
      <c r="A574"/>
    </row>
    <row r="575" spans="1:1">
      <c r="A575"/>
    </row>
    <row r="576" spans="1:1">
      <c r="A576"/>
    </row>
    <row r="577" spans="1:1">
      <c r="A577"/>
    </row>
    <row r="578" spans="1:1">
      <c r="A578"/>
    </row>
    <row r="579" spans="1:1">
      <c r="A579"/>
    </row>
    <row r="580" spans="1:1">
      <c r="A580"/>
    </row>
    <row r="581" spans="1:1">
      <c r="A581"/>
    </row>
    <row r="582" spans="1:1">
      <c r="A582"/>
    </row>
    <row r="583" spans="1:1">
      <c r="A583"/>
    </row>
    <row r="584" spans="1:1">
      <c r="A584"/>
    </row>
    <row r="585" spans="1:1">
      <c r="A585"/>
    </row>
    <row r="586" spans="1:1">
      <c r="A586"/>
    </row>
    <row r="587" spans="1:1">
      <c r="A587"/>
    </row>
    <row r="588" spans="1:1">
      <c r="A588"/>
    </row>
    <row r="589" spans="1:1">
      <c r="A589"/>
    </row>
    <row r="590" spans="1:1">
      <c r="A590"/>
    </row>
    <row r="591" spans="1:1">
      <c r="A591"/>
    </row>
    <row r="592" spans="1:1">
      <c r="A592"/>
    </row>
    <row r="593" spans="1:1">
      <c r="A593"/>
    </row>
    <row r="594" spans="1:1">
      <c r="A594"/>
    </row>
    <row r="595" spans="1:1">
      <c r="A595"/>
    </row>
    <row r="596" spans="1:1">
      <c r="A596"/>
    </row>
    <row r="597" spans="1:1">
      <c r="A597"/>
    </row>
    <row r="598" spans="1:1">
      <c r="A598"/>
    </row>
    <row r="599" spans="1:1">
      <c r="A599"/>
    </row>
    <row r="600" spans="1:1">
      <c r="A600"/>
    </row>
    <row r="601" spans="1:1">
      <c r="A601"/>
    </row>
    <row r="602" spans="1:1">
      <c r="A602"/>
    </row>
    <row r="603" spans="1:1">
      <c r="A603"/>
    </row>
    <row r="604" spans="1:1">
      <c r="A604"/>
    </row>
    <row r="605" spans="1:1">
      <c r="A605"/>
    </row>
    <row r="606" spans="1:1">
      <c r="A606"/>
    </row>
    <row r="607" spans="1:1">
      <c r="A607"/>
    </row>
    <row r="608" spans="1:1">
      <c r="A608"/>
    </row>
    <row r="609" spans="1:1">
      <c r="A609"/>
    </row>
    <row r="610" spans="1:1">
      <c r="A610"/>
    </row>
    <row r="611" spans="1:1">
      <c r="A611"/>
    </row>
    <row r="612" spans="1:1">
      <c r="A612"/>
    </row>
    <row r="613" spans="1:1">
      <c r="A613"/>
    </row>
    <row r="614" spans="1:1">
      <c r="A614"/>
    </row>
    <row r="615" spans="1:1">
      <c r="A615"/>
    </row>
    <row r="616" spans="1:1">
      <c r="A616"/>
    </row>
    <row r="617" spans="1:1">
      <c r="A617"/>
    </row>
    <row r="618" spans="1:1">
      <c r="A618"/>
    </row>
    <row r="619" spans="1:1">
      <c r="A619"/>
    </row>
    <row r="620" spans="1:1">
      <c r="A620"/>
    </row>
    <row r="621" spans="1:1">
      <c r="A621"/>
    </row>
    <row r="622" spans="1:1">
      <c r="A622"/>
    </row>
    <row r="623" spans="1:1">
      <c r="A623"/>
    </row>
    <row r="624" spans="1:1">
      <c r="A624"/>
    </row>
    <row r="625" spans="1:1">
      <c r="A625"/>
    </row>
    <row r="626" spans="1:1">
      <c r="A626"/>
    </row>
    <row r="627" spans="1:1">
      <c r="A627"/>
    </row>
    <row r="628" spans="1:1">
      <c r="A628"/>
    </row>
    <row r="629" spans="1:1">
      <c r="A629"/>
    </row>
    <row r="630" spans="1:1">
      <c r="A630"/>
    </row>
    <row r="631" spans="1:1">
      <c r="A631"/>
    </row>
    <row r="632" spans="1:1">
      <c r="A632"/>
    </row>
    <row r="633" spans="1:1">
      <c r="A633"/>
    </row>
    <row r="634" spans="1:1">
      <c r="A634"/>
    </row>
    <row r="635" spans="1:1">
      <c r="A635"/>
    </row>
    <row r="636" spans="1:1">
      <c r="A636"/>
    </row>
    <row r="637" spans="1:1">
      <c r="A637"/>
    </row>
    <row r="638" spans="1:1">
      <c r="A638"/>
    </row>
    <row r="639" spans="1:1">
      <c r="A639"/>
    </row>
    <row r="640" spans="1:1">
      <c r="A640"/>
    </row>
    <row r="641" spans="1:1">
      <c r="A641"/>
    </row>
    <row r="642" spans="1:1">
      <c r="A642"/>
    </row>
    <row r="643" spans="1:1">
      <c r="A643"/>
    </row>
    <row r="644" spans="1:1">
      <c r="A644"/>
    </row>
    <row r="645" spans="1:1">
      <c r="A645"/>
    </row>
    <row r="646" spans="1:1">
      <c r="A646"/>
    </row>
    <row r="647" spans="1:1">
      <c r="A647"/>
    </row>
    <row r="648" spans="1:1">
      <c r="A648"/>
    </row>
    <row r="649" spans="1:1">
      <c r="A649"/>
    </row>
    <row r="650" spans="1:1">
      <c r="A650"/>
    </row>
    <row r="651" spans="1:1">
      <c r="A651"/>
    </row>
    <row r="652" spans="1:1">
      <c r="A652"/>
    </row>
    <row r="653" spans="1:1">
      <c r="A653"/>
    </row>
    <row r="654" spans="1:1">
      <c r="A654"/>
    </row>
    <row r="655" spans="1:1">
      <c r="A655"/>
    </row>
    <row r="656" spans="1:1">
      <c r="A656"/>
    </row>
    <row r="657" spans="1:1">
      <c r="A657"/>
    </row>
    <row r="658" spans="1:1">
      <c r="A658"/>
    </row>
    <row r="659" spans="1:1">
      <c r="A659"/>
    </row>
    <row r="660" spans="1:1">
      <c r="A660"/>
    </row>
    <row r="661" spans="1:1">
      <c r="A661"/>
    </row>
    <row r="662" spans="1:1">
      <c r="A662"/>
    </row>
    <row r="663" spans="1:1">
      <c r="A663"/>
    </row>
    <row r="664" spans="1:1">
      <c r="A664"/>
    </row>
    <row r="665" spans="1:1">
      <c r="A665"/>
    </row>
    <row r="666" spans="1:1">
      <c r="A666"/>
    </row>
    <row r="667" spans="1:1">
      <c r="A667"/>
    </row>
    <row r="668" spans="1:1">
      <c r="A668"/>
    </row>
    <row r="669" spans="1:1">
      <c r="A669"/>
    </row>
    <row r="670" spans="1:1">
      <c r="A670"/>
    </row>
    <row r="671" spans="1:1">
      <c r="A671"/>
    </row>
    <row r="672" spans="1:1">
      <c r="A672"/>
    </row>
    <row r="673" spans="1:1">
      <c r="A673"/>
    </row>
    <row r="674" spans="1:1">
      <c r="A674"/>
    </row>
    <row r="675" spans="1:1">
      <c r="A675"/>
    </row>
    <row r="676" spans="1:1">
      <c r="A676"/>
    </row>
    <row r="677" spans="1:1">
      <c r="A677"/>
    </row>
    <row r="678" spans="1:1">
      <c r="A678"/>
    </row>
    <row r="679" spans="1:1">
      <c r="A679"/>
    </row>
    <row r="680" spans="1:1">
      <c r="A680"/>
    </row>
    <row r="681" spans="1:1">
      <c r="A681"/>
    </row>
    <row r="682" spans="1:1">
      <c r="A682"/>
    </row>
    <row r="683" spans="1:1">
      <c r="A683"/>
    </row>
    <row r="684" spans="1:1">
      <c r="A684"/>
    </row>
    <row r="685" spans="1:1">
      <c r="A685"/>
    </row>
    <row r="686" spans="1:1">
      <c r="A686"/>
    </row>
    <row r="687" spans="1:1">
      <c r="A687"/>
    </row>
    <row r="688" spans="1:1">
      <c r="A688"/>
    </row>
    <row r="689" spans="1:1">
      <c r="A689"/>
    </row>
    <row r="690" spans="1:1">
      <c r="A690"/>
    </row>
    <row r="691" spans="1:1">
      <c r="A691"/>
    </row>
    <row r="692" spans="1:1">
      <c r="A692"/>
    </row>
    <row r="693" spans="1:1">
      <c r="A693"/>
    </row>
    <row r="694" spans="1:1">
      <c r="A694"/>
    </row>
    <row r="695" spans="1:1">
      <c r="A695"/>
    </row>
    <row r="696" spans="1:1">
      <c r="A696"/>
    </row>
    <row r="697" spans="1:1">
      <c r="A697"/>
    </row>
    <row r="698" spans="1:1">
      <c r="A698"/>
    </row>
    <row r="699" spans="1:1">
      <c r="A699"/>
    </row>
    <row r="700" spans="1:1">
      <c r="A700"/>
    </row>
    <row r="701" spans="1:1">
      <c r="A701"/>
    </row>
    <row r="702" spans="1:1">
      <c r="A702"/>
    </row>
    <row r="703" spans="1:1">
      <c r="A703"/>
    </row>
    <row r="704" spans="1:1">
      <c r="A704"/>
    </row>
    <row r="705" spans="1:1">
      <c r="A705"/>
    </row>
    <row r="706" spans="1:1">
      <c r="A706"/>
    </row>
    <row r="707" spans="1:1">
      <c r="A707"/>
    </row>
    <row r="708" spans="1:1">
      <c r="A708"/>
    </row>
    <row r="709" spans="1:1">
      <c r="A709"/>
    </row>
    <row r="710" spans="1:1">
      <c r="A710"/>
    </row>
    <row r="711" spans="1:1">
      <c r="A711"/>
    </row>
    <row r="712" spans="1:1">
      <c r="A712"/>
    </row>
    <row r="713" spans="1:1">
      <c r="A713"/>
    </row>
    <row r="714" spans="1:1">
      <c r="A714"/>
    </row>
    <row r="715" spans="1:1">
      <c r="A715"/>
    </row>
    <row r="716" spans="1:1">
      <c r="A716"/>
    </row>
    <row r="717" spans="1:1">
      <c r="A717"/>
    </row>
    <row r="718" spans="1:1">
      <c r="A718"/>
    </row>
    <row r="719" spans="1:1">
      <c r="A719"/>
    </row>
    <row r="720" spans="1:1">
      <c r="A720"/>
    </row>
    <row r="721" spans="1:1">
      <c r="A721"/>
    </row>
    <row r="722" spans="1:1">
      <c r="A722"/>
    </row>
    <row r="723" spans="1:1">
      <c r="A723"/>
    </row>
    <row r="724" spans="1:1">
      <c r="A724"/>
    </row>
    <row r="725" spans="1:1">
      <c r="A725"/>
    </row>
    <row r="726" spans="1:1">
      <c r="A726"/>
    </row>
    <row r="727" spans="1:1">
      <c r="A727"/>
    </row>
    <row r="728" spans="1:1">
      <c r="A728"/>
    </row>
    <row r="729" spans="1:1">
      <c r="A729"/>
    </row>
    <row r="730" spans="1:1">
      <c r="A730"/>
    </row>
    <row r="731" spans="1:1">
      <c r="A731"/>
    </row>
    <row r="732" spans="1:1">
      <c r="A732"/>
    </row>
    <row r="733" spans="1:1">
      <c r="A733"/>
    </row>
    <row r="734" spans="1:1">
      <c r="A734"/>
    </row>
    <row r="735" spans="1:1">
      <c r="A735"/>
    </row>
    <row r="736" spans="1:1">
      <c r="A736"/>
    </row>
    <row r="737" spans="1:1">
      <c r="A737"/>
    </row>
    <row r="738" spans="1:1">
      <c r="A738"/>
    </row>
    <row r="739" spans="1:1">
      <c r="A739"/>
    </row>
    <row r="740" spans="1:1">
      <c r="A740"/>
    </row>
    <row r="741" spans="1:1">
      <c r="A741"/>
    </row>
    <row r="742" spans="1:1">
      <c r="A742"/>
    </row>
    <row r="743" spans="1:1">
      <c r="A743"/>
    </row>
    <row r="744" spans="1:1">
      <c r="A744"/>
    </row>
    <row r="745" spans="1:1">
      <c r="A745"/>
    </row>
    <row r="746" spans="1:1">
      <c r="A746"/>
    </row>
    <row r="747" spans="1:1">
      <c r="A747"/>
    </row>
    <row r="748" spans="1:1">
      <c r="A748"/>
    </row>
    <row r="749" spans="1:1">
      <c r="A749"/>
    </row>
    <row r="750" spans="1:1">
      <c r="A750"/>
    </row>
    <row r="751" spans="1:1">
      <c r="A751"/>
    </row>
    <row r="752" spans="1:1">
      <c r="A752"/>
    </row>
    <row r="753" spans="1:1">
      <c r="A753"/>
    </row>
    <row r="754" spans="1:1">
      <c r="A754"/>
    </row>
    <row r="755" spans="1:1">
      <c r="A755"/>
    </row>
    <row r="756" spans="1:1">
      <c r="A756"/>
    </row>
    <row r="757" spans="1:1">
      <c r="A757"/>
    </row>
    <row r="758" spans="1:1">
      <c r="A758"/>
    </row>
    <row r="759" spans="1:1">
      <c r="A759"/>
    </row>
    <row r="760" spans="1:1">
      <c r="A760"/>
    </row>
    <row r="761" spans="1:1">
      <c r="A761"/>
    </row>
    <row r="762" spans="1:1">
      <c r="A762"/>
    </row>
    <row r="763" spans="1:1">
      <c r="A763"/>
    </row>
    <row r="764" spans="1:1">
      <c r="A764"/>
    </row>
    <row r="765" spans="1:1">
      <c r="A765"/>
    </row>
    <row r="766" spans="1:1">
      <c r="A766"/>
    </row>
    <row r="767" spans="1:1">
      <c r="A767"/>
    </row>
    <row r="768" spans="1:1">
      <c r="A768"/>
    </row>
    <row r="769" spans="1:1">
      <c r="A769"/>
    </row>
    <row r="770" spans="1:1">
      <c r="A770"/>
    </row>
    <row r="771" spans="1:1">
      <c r="A771"/>
    </row>
    <row r="772" spans="1:1">
      <c r="A772"/>
    </row>
    <row r="773" spans="1:1">
      <c r="A773"/>
    </row>
    <row r="774" spans="1:1">
      <c r="A774"/>
    </row>
    <row r="775" spans="1:1">
      <c r="A775"/>
    </row>
    <row r="776" spans="1:1">
      <c r="A776"/>
    </row>
    <row r="777" spans="1:1">
      <c r="A777"/>
    </row>
    <row r="778" spans="1:1">
      <c r="A778"/>
    </row>
    <row r="779" spans="1:1">
      <c r="A779"/>
    </row>
    <row r="780" spans="1:1">
      <c r="A780"/>
    </row>
    <row r="781" spans="1:1">
      <c r="A781"/>
    </row>
    <row r="782" spans="1:1">
      <c r="A782"/>
    </row>
    <row r="783" spans="1:1">
      <c r="A783"/>
    </row>
    <row r="784" spans="1:1">
      <c r="A784"/>
    </row>
    <row r="785" spans="1:1">
      <c r="A785"/>
    </row>
    <row r="786" spans="1:1">
      <c r="A786"/>
    </row>
    <row r="787" spans="1:1">
      <c r="A787"/>
    </row>
    <row r="788" spans="1:1">
      <c r="A788"/>
    </row>
    <row r="789" spans="1:1">
      <c r="A789"/>
    </row>
    <row r="790" spans="1:1">
      <c r="A790"/>
    </row>
    <row r="791" spans="1:1">
      <c r="A791"/>
    </row>
    <row r="792" spans="1:1">
      <c r="A792"/>
    </row>
    <row r="793" spans="1:1">
      <c r="A793"/>
    </row>
    <row r="794" spans="1:1">
      <c r="A794"/>
    </row>
    <row r="795" spans="1:1">
      <c r="A795"/>
    </row>
    <row r="796" spans="1:1">
      <c r="A796"/>
    </row>
    <row r="797" spans="1:1">
      <c r="A797"/>
    </row>
    <row r="798" spans="1:1">
      <c r="A798"/>
    </row>
    <row r="799" spans="1:1">
      <c r="A799"/>
    </row>
    <row r="800" spans="1:1">
      <c r="A800"/>
    </row>
    <row r="801" spans="1:1">
      <c r="A801"/>
    </row>
    <row r="802" spans="1:1">
      <c r="A802"/>
    </row>
    <row r="803" spans="1:1">
      <c r="A803"/>
    </row>
    <row r="804" spans="1:1">
      <c r="A804"/>
    </row>
    <row r="805" spans="1:1">
      <c r="A805"/>
    </row>
    <row r="806" spans="1:1">
      <c r="A806"/>
    </row>
    <row r="807" spans="1:1">
      <c r="A807"/>
    </row>
    <row r="808" spans="1:1">
      <c r="A808"/>
    </row>
    <row r="809" spans="1:1">
      <c r="A809"/>
    </row>
    <row r="810" spans="1:1">
      <c r="A810"/>
    </row>
    <row r="811" spans="1:1">
      <c r="A811"/>
    </row>
    <row r="812" spans="1:1">
      <c r="A812"/>
    </row>
    <row r="813" spans="1:1">
      <c r="A813"/>
    </row>
    <row r="814" spans="1:1">
      <c r="A814"/>
    </row>
    <row r="815" spans="1:1">
      <c r="A815"/>
    </row>
    <row r="816" spans="1:1">
      <c r="A816"/>
    </row>
    <row r="817" spans="1:1">
      <c r="A817"/>
    </row>
    <row r="818" spans="1:1">
      <c r="A818"/>
    </row>
    <row r="819" spans="1:1">
      <c r="A819"/>
    </row>
    <row r="820" spans="1:1">
      <c r="A820"/>
    </row>
    <row r="821" spans="1:1">
      <c r="A821"/>
    </row>
    <row r="822" spans="1:1">
      <c r="A822"/>
    </row>
    <row r="823" spans="1:1">
      <c r="A823"/>
    </row>
    <row r="824" spans="1:1">
      <c r="A824"/>
    </row>
    <row r="825" spans="1:1">
      <c r="A825"/>
    </row>
    <row r="826" spans="1:1">
      <c r="A826"/>
    </row>
    <row r="827" spans="1:1">
      <c r="A827"/>
    </row>
    <row r="828" spans="1:1">
      <c r="A828"/>
    </row>
    <row r="829" spans="1:1">
      <c r="A829"/>
    </row>
  </sheetData>
  <conditionalFormatting sqref="A4:A25">
    <cfRule type="containsText" dxfId="3" priority="25" operator="containsText" text="DML">
      <formula>NOT(ISERROR(SEARCH("DML",A4)))</formula>
    </cfRule>
    <cfRule type="containsText" dxfId="2" priority="26" operator="containsText" text="Circulação">
      <formula>NOT(ISERROR(SEARCH("Circulação",A4)))</formula>
    </cfRule>
    <cfRule type="containsText" dxfId="1" priority="27" operator="containsText" text="Banheiro">
      <formula>NOT(ISERROR(SEARCH("Banheiro",A4)))</formula>
    </cfRule>
    <cfRule type="containsText" dxfId="0" priority="28" operator="containsText" text="Serviço">
      <formula>NOT(ISERROR(SEARCH("Serviço",A4)))</formula>
    </cfRule>
  </conditionalFormatting>
  <pageMargins left="0.511811024" right="0.511811024" top="0.78740157499999996" bottom="0.78740157499999996" header="0.31496062000000002" footer="0.3149606200000000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1D3880-291E-4F89-A3BF-F71C86EE9078}">
  <dimension ref="A1:O679"/>
  <sheetViews>
    <sheetView zoomScale="70" zoomScaleNormal="70" workbookViewId="0">
      <selection activeCell="H13" sqref="H13"/>
    </sheetView>
  </sheetViews>
  <sheetFormatPr defaultRowHeight="15"/>
  <cols>
    <col min="1" max="1" width="20.140625" customWidth="1"/>
    <col min="2" max="2" width="24.7109375" customWidth="1"/>
    <col min="3" max="3" width="20.140625" customWidth="1"/>
    <col min="4" max="4" width="19.85546875" customWidth="1"/>
    <col min="5" max="5" width="21" customWidth="1"/>
    <col min="6" max="6" width="20.42578125" customWidth="1"/>
    <col min="7" max="7" width="13" customWidth="1"/>
  </cols>
  <sheetData>
    <row r="1" spans="1:6" ht="36.75" customHeight="1">
      <c r="A1" s="825" t="s">
        <v>2489</v>
      </c>
      <c r="B1" s="825"/>
      <c r="C1" s="825"/>
      <c r="D1" s="825"/>
      <c r="E1" s="825"/>
      <c r="F1" s="825"/>
    </row>
    <row r="2" spans="1:6" ht="31.5">
      <c r="A2" s="826" t="s">
        <v>2490</v>
      </c>
      <c r="B2" s="3" t="s">
        <v>100</v>
      </c>
      <c r="C2" s="395" t="s">
        <v>2058</v>
      </c>
      <c r="D2" s="395" t="s">
        <v>2057</v>
      </c>
      <c r="E2" s="395" t="s">
        <v>2056</v>
      </c>
      <c r="F2" s="395" t="s">
        <v>2055</v>
      </c>
    </row>
    <row r="3" spans="1:6">
      <c r="A3" s="826"/>
      <c r="B3" s="3" t="s">
        <v>2160</v>
      </c>
      <c r="C3" s="391">
        <f t="shared" ref="C3:F10" si="0">TRUNC(C47+C61)</f>
        <v>293</v>
      </c>
      <c r="D3" s="391">
        <f t="shared" si="0"/>
        <v>185</v>
      </c>
      <c r="E3" s="391">
        <f t="shared" si="0"/>
        <v>99</v>
      </c>
      <c r="F3" s="391">
        <f t="shared" si="0"/>
        <v>0</v>
      </c>
    </row>
    <row r="4" spans="1:6">
      <c r="A4" s="826"/>
      <c r="B4" s="3" t="s">
        <v>2159</v>
      </c>
      <c r="C4" s="391">
        <f t="shared" si="0"/>
        <v>272</v>
      </c>
      <c r="D4" s="391">
        <f t="shared" si="0"/>
        <v>165</v>
      </c>
      <c r="E4" s="391">
        <f t="shared" si="0"/>
        <v>99</v>
      </c>
      <c r="F4" s="391">
        <f t="shared" si="0"/>
        <v>0</v>
      </c>
    </row>
    <row r="5" spans="1:6">
      <c r="A5" s="826"/>
      <c r="B5" s="3" t="s">
        <v>2158</v>
      </c>
      <c r="C5" s="391">
        <f t="shared" si="0"/>
        <v>699</v>
      </c>
      <c r="D5" s="391">
        <f t="shared" si="0"/>
        <v>262</v>
      </c>
      <c r="E5" s="391">
        <f t="shared" si="0"/>
        <v>99</v>
      </c>
      <c r="F5" s="391">
        <f t="shared" si="0"/>
        <v>0</v>
      </c>
    </row>
    <row r="6" spans="1:6">
      <c r="A6" s="826"/>
      <c r="B6" s="3" t="s">
        <v>2157</v>
      </c>
      <c r="C6" s="391">
        <f t="shared" si="0"/>
        <v>341</v>
      </c>
      <c r="D6" s="391">
        <f t="shared" si="0"/>
        <v>163</v>
      </c>
      <c r="E6" s="391">
        <f t="shared" si="0"/>
        <v>118</v>
      </c>
      <c r="F6" s="391">
        <f t="shared" si="0"/>
        <v>0</v>
      </c>
    </row>
    <row r="7" spans="1:6">
      <c r="A7" s="826"/>
      <c r="B7" s="3" t="s">
        <v>2156</v>
      </c>
      <c r="C7" s="391">
        <f t="shared" si="0"/>
        <v>337</v>
      </c>
      <c r="D7" s="391">
        <f t="shared" si="0"/>
        <v>66</v>
      </c>
      <c r="E7" s="391">
        <f t="shared" si="0"/>
        <v>222</v>
      </c>
      <c r="F7" s="391">
        <f t="shared" si="0"/>
        <v>0</v>
      </c>
    </row>
    <row r="8" spans="1:6">
      <c r="A8" s="826"/>
      <c r="B8" s="3" t="s">
        <v>2155</v>
      </c>
      <c r="C8" s="391">
        <f t="shared" si="0"/>
        <v>582</v>
      </c>
      <c r="D8" s="391">
        <f t="shared" si="0"/>
        <v>324</v>
      </c>
      <c r="E8" s="391">
        <f t="shared" si="0"/>
        <v>222</v>
      </c>
      <c r="F8" s="391">
        <f t="shared" si="0"/>
        <v>0</v>
      </c>
    </row>
    <row r="9" spans="1:6">
      <c r="A9" s="826"/>
      <c r="B9" s="3" t="s">
        <v>2154</v>
      </c>
      <c r="C9" s="391">
        <f t="shared" si="0"/>
        <v>384</v>
      </c>
      <c r="D9" s="391">
        <f t="shared" si="0"/>
        <v>78</v>
      </c>
      <c r="E9" s="391">
        <f t="shared" si="0"/>
        <v>229</v>
      </c>
      <c r="F9" s="391">
        <f t="shared" si="0"/>
        <v>0</v>
      </c>
    </row>
    <row r="10" spans="1:6">
      <c r="A10" s="826"/>
      <c r="B10" s="3" t="s">
        <v>2153</v>
      </c>
      <c r="C10" s="391">
        <f t="shared" si="0"/>
        <v>389</v>
      </c>
      <c r="D10" s="391">
        <f t="shared" si="0"/>
        <v>0</v>
      </c>
      <c r="E10" s="391">
        <f t="shared" si="0"/>
        <v>0</v>
      </c>
      <c r="F10" s="391">
        <f t="shared" si="0"/>
        <v>0</v>
      </c>
    </row>
    <row r="11" spans="1:6">
      <c r="A11" s="826"/>
      <c r="B11" t="s">
        <v>563</v>
      </c>
      <c r="C11" s="436">
        <f>TRUNC(SUM(C3:C10),2)</f>
        <v>3297</v>
      </c>
      <c r="D11" s="436">
        <f t="shared" ref="D11:F11" si="1">TRUNC(SUM(D3:D10),2)</f>
        <v>1243</v>
      </c>
      <c r="E11" s="436">
        <f t="shared" si="1"/>
        <v>1088</v>
      </c>
      <c r="F11" s="436">
        <f t="shared" si="1"/>
        <v>0</v>
      </c>
    </row>
    <row r="12" spans="1:6">
      <c r="A12" s="3"/>
      <c r="C12" s="11"/>
      <c r="D12" s="11"/>
      <c r="E12" s="11"/>
      <c r="F12" s="11"/>
    </row>
    <row r="13" spans="1:6" ht="36.75" customHeight="1">
      <c r="A13" s="827" t="s">
        <v>2491</v>
      </c>
      <c r="B13" s="827"/>
      <c r="C13" s="827"/>
      <c r="D13" s="827"/>
      <c r="E13" s="827"/>
      <c r="F13" s="827"/>
    </row>
    <row r="14" spans="1:6" ht="31.5">
      <c r="A14" s="826" t="s">
        <v>2490</v>
      </c>
      <c r="B14" s="3" t="s">
        <v>100</v>
      </c>
      <c r="C14" s="395" t="s">
        <v>2058</v>
      </c>
      <c r="D14" s="395" t="s">
        <v>2057</v>
      </c>
      <c r="E14" s="395" t="s">
        <v>2056</v>
      </c>
      <c r="F14" s="395" t="s">
        <v>2055</v>
      </c>
    </row>
    <row r="15" spans="1:6">
      <c r="A15" s="826"/>
      <c r="B15" s="3" t="s">
        <v>2160</v>
      </c>
      <c r="C15" s="391">
        <f t="shared" ref="C15:F22" si="2">TRUNC(C47+C61)</f>
        <v>293</v>
      </c>
      <c r="D15" s="391">
        <f t="shared" si="2"/>
        <v>185</v>
      </c>
      <c r="E15" s="391">
        <f t="shared" si="2"/>
        <v>99</v>
      </c>
      <c r="F15" s="391">
        <f t="shared" si="2"/>
        <v>0</v>
      </c>
    </row>
    <row r="16" spans="1:6">
      <c r="A16" s="826"/>
      <c r="B16" s="3" t="s">
        <v>2159</v>
      </c>
      <c r="C16" s="391">
        <f t="shared" si="2"/>
        <v>272</v>
      </c>
      <c r="D16" s="391">
        <f t="shared" si="2"/>
        <v>165</v>
      </c>
      <c r="E16" s="391">
        <f t="shared" si="2"/>
        <v>99</v>
      </c>
      <c r="F16" s="391">
        <f t="shared" si="2"/>
        <v>0</v>
      </c>
    </row>
    <row r="17" spans="1:6">
      <c r="A17" s="826"/>
      <c r="B17" s="3" t="s">
        <v>2158</v>
      </c>
      <c r="C17" s="391">
        <f t="shared" si="2"/>
        <v>699</v>
      </c>
      <c r="D17" s="391">
        <f t="shared" si="2"/>
        <v>262</v>
      </c>
      <c r="E17" s="391">
        <f t="shared" si="2"/>
        <v>99</v>
      </c>
      <c r="F17" s="391">
        <f t="shared" si="2"/>
        <v>0</v>
      </c>
    </row>
    <row r="18" spans="1:6">
      <c r="A18" s="826"/>
      <c r="B18" s="3" t="s">
        <v>2157</v>
      </c>
      <c r="C18" s="391">
        <f t="shared" si="2"/>
        <v>341</v>
      </c>
      <c r="D18" s="391">
        <f t="shared" si="2"/>
        <v>163</v>
      </c>
      <c r="E18" s="391">
        <f t="shared" si="2"/>
        <v>118</v>
      </c>
      <c r="F18" s="391">
        <f t="shared" si="2"/>
        <v>0</v>
      </c>
    </row>
    <row r="19" spans="1:6">
      <c r="A19" s="826"/>
      <c r="B19" s="3" t="s">
        <v>2156</v>
      </c>
      <c r="C19" s="391">
        <f t="shared" si="2"/>
        <v>337</v>
      </c>
      <c r="D19" s="391">
        <f t="shared" si="2"/>
        <v>66</v>
      </c>
      <c r="E19" s="391">
        <f t="shared" si="2"/>
        <v>222</v>
      </c>
      <c r="F19" s="391">
        <f t="shared" si="2"/>
        <v>0</v>
      </c>
    </row>
    <row r="20" spans="1:6">
      <c r="A20" s="826"/>
      <c r="B20" s="3" t="s">
        <v>2155</v>
      </c>
      <c r="C20" s="391">
        <f t="shared" si="2"/>
        <v>582</v>
      </c>
      <c r="D20" s="391">
        <f t="shared" si="2"/>
        <v>324</v>
      </c>
      <c r="E20" s="391">
        <f t="shared" si="2"/>
        <v>222</v>
      </c>
      <c r="F20" s="391">
        <f t="shared" si="2"/>
        <v>0</v>
      </c>
    </row>
    <row r="21" spans="1:6">
      <c r="A21" s="826"/>
      <c r="B21" s="3" t="s">
        <v>2154</v>
      </c>
      <c r="C21" s="391">
        <f t="shared" si="2"/>
        <v>384</v>
      </c>
      <c r="D21" s="391">
        <f t="shared" si="2"/>
        <v>78</v>
      </c>
      <c r="E21" s="391">
        <f t="shared" si="2"/>
        <v>229</v>
      </c>
      <c r="F21" s="391">
        <f t="shared" si="2"/>
        <v>0</v>
      </c>
    </row>
    <row r="22" spans="1:6">
      <c r="A22" s="826"/>
      <c r="B22" s="3" t="s">
        <v>2153</v>
      </c>
      <c r="C22" s="391">
        <f t="shared" si="2"/>
        <v>389</v>
      </c>
      <c r="D22" s="391">
        <f t="shared" si="2"/>
        <v>0</v>
      </c>
      <c r="E22" s="391">
        <f t="shared" si="2"/>
        <v>0</v>
      </c>
      <c r="F22" s="391">
        <f t="shared" si="2"/>
        <v>0</v>
      </c>
    </row>
    <row r="23" spans="1:6">
      <c r="A23" s="826"/>
      <c r="B23" s="3" t="s">
        <v>2369</v>
      </c>
      <c r="C23" s="391">
        <f>I656</f>
        <v>162.53</v>
      </c>
      <c r="D23" s="391">
        <f>J656</f>
        <v>68.48</v>
      </c>
      <c r="E23" s="391">
        <f>K656</f>
        <v>94.05</v>
      </c>
      <c r="F23" s="391">
        <f>L656</f>
        <v>0</v>
      </c>
    </row>
    <row r="24" spans="1:6">
      <c r="A24" s="826"/>
      <c r="B24" s="229" t="s">
        <v>2450</v>
      </c>
      <c r="C24" s="391">
        <f>I665</f>
        <v>41.18</v>
      </c>
      <c r="D24" s="391">
        <f>J665</f>
        <v>1.5</v>
      </c>
      <c r="E24" s="391">
        <f>K665</f>
        <v>0</v>
      </c>
      <c r="F24" s="391">
        <f>L665</f>
        <v>0</v>
      </c>
    </row>
    <row r="25" spans="1:6">
      <c r="A25" s="826"/>
      <c r="B25" t="s">
        <v>563</v>
      </c>
      <c r="C25" s="436">
        <f>TRUNC(SUM(C15:C24),2)</f>
        <v>3500.71</v>
      </c>
      <c r="D25" s="436">
        <f t="shared" ref="D25:F25" si="3">TRUNC(SUM(D15:D24),2)</f>
        <v>1312.98</v>
      </c>
      <c r="E25" s="436">
        <f t="shared" si="3"/>
        <v>1182.05</v>
      </c>
      <c r="F25" s="436">
        <f t="shared" si="3"/>
        <v>0</v>
      </c>
    </row>
    <row r="26" spans="1:6">
      <c r="A26" s="3"/>
      <c r="C26" s="11"/>
      <c r="D26" s="11"/>
      <c r="E26" s="11"/>
      <c r="F26" s="11"/>
    </row>
    <row r="27" spans="1:6">
      <c r="A27" s="3"/>
      <c r="C27" s="11"/>
      <c r="D27" s="11"/>
      <c r="E27" s="11"/>
      <c r="F27" s="11"/>
    </row>
    <row r="28" spans="1:6" ht="36.75" customHeight="1">
      <c r="A28" s="828" t="s">
        <v>2492</v>
      </c>
      <c r="B28" s="828"/>
      <c r="C28" s="828"/>
      <c r="D28" s="828"/>
      <c r="E28" s="828"/>
      <c r="F28" s="828"/>
    </row>
    <row r="29" spans="1:6" ht="31.5">
      <c r="A29" s="826" t="s">
        <v>2490</v>
      </c>
      <c r="B29" s="3" t="s">
        <v>100</v>
      </c>
      <c r="C29" s="395" t="s">
        <v>2058</v>
      </c>
      <c r="D29" s="395" t="s">
        <v>2057</v>
      </c>
      <c r="E29" s="395" t="s">
        <v>2056</v>
      </c>
      <c r="F29" s="395" t="s">
        <v>2055</v>
      </c>
    </row>
    <row r="30" spans="1:6">
      <c r="A30" s="826"/>
      <c r="B30" s="3" t="s">
        <v>2160</v>
      </c>
      <c r="C30" s="391">
        <f t="shared" ref="C30:F37" si="4">TRUNC(C47+C61)</f>
        <v>293</v>
      </c>
      <c r="D30" s="391">
        <f t="shared" si="4"/>
        <v>185</v>
      </c>
      <c r="E30" s="391">
        <f t="shared" si="4"/>
        <v>99</v>
      </c>
      <c r="F30" s="391">
        <f t="shared" si="4"/>
        <v>0</v>
      </c>
    </row>
    <row r="31" spans="1:6">
      <c r="A31" s="826"/>
      <c r="B31" s="3" t="s">
        <v>2159</v>
      </c>
      <c r="C31" s="391">
        <f t="shared" si="4"/>
        <v>272</v>
      </c>
      <c r="D31" s="391">
        <f t="shared" si="4"/>
        <v>165</v>
      </c>
      <c r="E31" s="391">
        <f t="shared" si="4"/>
        <v>99</v>
      </c>
      <c r="F31" s="391">
        <f t="shared" si="4"/>
        <v>0</v>
      </c>
    </row>
    <row r="32" spans="1:6">
      <c r="A32" s="826"/>
      <c r="B32" s="3" t="s">
        <v>2158</v>
      </c>
      <c r="C32" s="391">
        <f t="shared" si="4"/>
        <v>699</v>
      </c>
      <c r="D32" s="391">
        <f t="shared" si="4"/>
        <v>262</v>
      </c>
      <c r="E32" s="391">
        <f t="shared" si="4"/>
        <v>99</v>
      </c>
      <c r="F32" s="391">
        <f t="shared" si="4"/>
        <v>0</v>
      </c>
    </row>
    <row r="33" spans="1:6">
      <c r="A33" s="826"/>
      <c r="B33" s="3" t="s">
        <v>2157</v>
      </c>
      <c r="C33" s="391">
        <f t="shared" si="4"/>
        <v>341</v>
      </c>
      <c r="D33" s="391">
        <f t="shared" si="4"/>
        <v>163</v>
      </c>
      <c r="E33" s="391">
        <f t="shared" si="4"/>
        <v>118</v>
      </c>
      <c r="F33" s="391">
        <f t="shared" si="4"/>
        <v>0</v>
      </c>
    </row>
    <row r="34" spans="1:6">
      <c r="A34" s="826"/>
      <c r="B34" s="3" t="s">
        <v>2156</v>
      </c>
      <c r="C34" s="391">
        <f t="shared" si="4"/>
        <v>337</v>
      </c>
      <c r="D34" s="391">
        <f t="shared" si="4"/>
        <v>66</v>
      </c>
      <c r="E34" s="391">
        <f t="shared" si="4"/>
        <v>222</v>
      </c>
      <c r="F34" s="391">
        <f t="shared" si="4"/>
        <v>0</v>
      </c>
    </row>
    <row r="35" spans="1:6">
      <c r="A35" s="826"/>
      <c r="B35" s="3" t="s">
        <v>2155</v>
      </c>
      <c r="C35" s="391">
        <f t="shared" si="4"/>
        <v>582</v>
      </c>
      <c r="D35" s="391">
        <f t="shared" si="4"/>
        <v>324</v>
      </c>
      <c r="E35" s="391">
        <f t="shared" si="4"/>
        <v>222</v>
      </c>
      <c r="F35" s="391">
        <f t="shared" si="4"/>
        <v>0</v>
      </c>
    </row>
    <row r="36" spans="1:6">
      <c r="A36" s="826"/>
      <c r="B36" s="3" t="s">
        <v>2154</v>
      </c>
      <c r="C36" s="391">
        <f t="shared" si="4"/>
        <v>384</v>
      </c>
      <c r="D36" s="391">
        <f t="shared" si="4"/>
        <v>78</v>
      </c>
      <c r="E36" s="391">
        <f t="shared" si="4"/>
        <v>229</v>
      </c>
      <c r="F36" s="391">
        <f t="shared" si="4"/>
        <v>0</v>
      </c>
    </row>
    <row r="37" spans="1:6">
      <c r="A37" s="826"/>
      <c r="B37" s="3" t="s">
        <v>2153</v>
      </c>
      <c r="C37" s="391">
        <f t="shared" si="4"/>
        <v>389</v>
      </c>
      <c r="D37" s="391">
        <f t="shared" si="4"/>
        <v>0</v>
      </c>
      <c r="E37" s="391">
        <f t="shared" si="4"/>
        <v>0</v>
      </c>
      <c r="F37" s="391">
        <f t="shared" si="4"/>
        <v>0</v>
      </c>
    </row>
    <row r="38" spans="1:6">
      <c r="A38" s="826"/>
      <c r="B38" s="3" t="s">
        <v>2369</v>
      </c>
      <c r="C38" s="391">
        <f>I656</f>
        <v>162.53</v>
      </c>
      <c r="D38" s="391">
        <f>J656</f>
        <v>68.48</v>
      </c>
      <c r="E38" s="391">
        <f>K656</f>
        <v>94.05</v>
      </c>
      <c r="F38" s="391">
        <f>L656</f>
        <v>0</v>
      </c>
    </row>
    <row r="39" spans="1:6">
      <c r="A39" s="826"/>
      <c r="B39" s="229" t="s">
        <v>2450</v>
      </c>
      <c r="C39" s="391">
        <f>I665</f>
        <v>41.18</v>
      </c>
      <c r="D39" s="391">
        <f>J665</f>
        <v>1.5</v>
      </c>
      <c r="E39" s="391">
        <f>K665</f>
        <v>0</v>
      </c>
      <c r="F39" s="391">
        <f>L665</f>
        <v>0</v>
      </c>
    </row>
    <row r="40" spans="1:6">
      <c r="A40" s="826"/>
      <c r="B40" s="229" t="s">
        <v>3</v>
      </c>
      <c r="C40" s="391">
        <f>I679</f>
        <v>119.13</v>
      </c>
      <c r="D40" s="391">
        <f t="shared" ref="D40:F40" si="5">J679</f>
        <v>52.05</v>
      </c>
      <c r="E40" s="391">
        <f t="shared" si="5"/>
        <v>5</v>
      </c>
      <c r="F40" s="391">
        <f t="shared" si="5"/>
        <v>5</v>
      </c>
    </row>
    <row r="41" spans="1:6">
      <c r="A41" s="826"/>
      <c r="B41" t="s">
        <v>563</v>
      </c>
      <c r="C41" s="436">
        <f>TRUNC(SUM(C30:C40),2)</f>
        <v>3619.84</v>
      </c>
      <c r="D41" s="436">
        <f t="shared" ref="D41:F41" si="6">TRUNC(SUM(D30:D40),2)</f>
        <v>1365.03</v>
      </c>
      <c r="E41" s="436">
        <f t="shared" si="6"/>
        <v>1187.05</v>
      </c>
      <c r="F41" s="436">
        <f t="shared" si="6"/>
        <v>5</v>
      </c>
    </row>
    <row r="42" spans="1:6">
      <c r="A42" s="3"/>
      <c r="C42" s="11"/>
      <c r="D42" s="11"/>
      <c r="E42" s="11"/>
      <c r="F42" s="11"/>
    </row>
    <row r="43" spans="1:6">
      <c r="A43" s="3"/>
      <c r="C43" s="11"/>
      <c r="D43" s="11"/>
      <c r="E43" s="11"/>
      <c r="F43" s="11"/>
    </row>
    <row r="44" spans="1:6">
      <c r="A44" s="3"/>
      <c r="C44" s="11"/>
      <c r="D44" s="11"/>
      <c r="E44" s="11"/>
      <c r="F44" s="11"/>
    </row>
    <row r="45" spans="1:6" ht="36.75" customHeight="1">
      <c r="A45" s="821" t="s">
        <v>2164</v>
      </c>
      <c r="B45" s="821"/>
      <c r="C45" s="821"/>
      <c r="D45" s="821"/>
      <c r="E45" s="821"/>
      <c r="F45" s="821"/>
    </row>
    <row r="46" spans="1:6" ht="31.5">
      <c r="A46" s="822" t="s">
        <v>2163</v>
      </c>
      <c r="B46" s="3" t="s">
        <v>100</v>
      </c>
      <c r="C46" s="395" t="s">
        <v>2058</v>
      </c>
      <c r="D46" s="395" t="s">
        <v>2057</v>
      </c>
      <c r="E46" s="395" t="s">
        <v>2056</v>
      </c>
      <c r="F46" s="395" t="s">
        <v>2055</v>
      </c>
    </row>
    <row r="47" spans="1:6">
      <c r="A47" s="822"/>
      <c r="B47" s="3" t="s">
        <v>2160</v>
      </c>
      <c r="C47" s="391">
        <f>'JN-ESQ'!J102</f>
        <v>284.40000000000003</v>
      </c>
      <c r="D47" s="391">
        <f>'JN-ESQ'!K102</f>
        <v>185.04</v>
      </c>
      <c r="E47" s="391">
        <f>'JN-ESQ'!L102</f>
        <v>99.360000000000014</v>
      </c>
      <c r="F47" s="391">
        <f>'JN-ESQ'!M102</f>
        <v>0</v>
      </c>
    </row>
    <row r="48" spans="1:6">
      <c r="A48" s="822"/>
      <c r="B48" s="3" t="s">
        <v>2159</v>
      </c>
      <c r="C48" s="391">
        <f>'JN-ESQ'!J123</f>
        <v>264.95999999999998</v>
      </c>
      <c r="D48" s="391">
        <f>'JN-ESQ'!K123</f>
        <v>165.60000000000002</v>
      </c>
      <c r="E48" s="391">
        <f>'JN-ESQ'!L123</f>
        <v>99.36</v>
      </c>
      <c r="F48" s="391">
        <f>'JN-ESQ'!M123</f>
        <v>0</v>
      </c>
    </row>
    <row r="49" spans="1:6">
      <c r="A49" s="822"/>
      <c r="B49" s="3" t="s">
        <v>2158</v>
      </c>
      <c r="C49" s="391">
        <f>'JN-ESQ'!K141</f>
        <v>361.72</v>
      </c>
      <c r="D49" s="391">
        <f>'JN-ESQ'!L141</f>
        <v>262.36</v>
      </c>
      <c r="E49" s="391">
        <f>'JN-ESQ'!M141</f>
        <v>99.360000000000014</v>
      </c>
      <c r="F49" s="391">
        <f>'JN-ESQ'!N141</f>
        <v>0</v>
      </c>
    </row>
    <row r="50" spans="1:6">
      <c r="A50" s="822"/>
      <c r="B50" s="3" t="s">
        <v>2157</v>
      </c>
      <c r="C50" s="391">
        <f>'JN-ESQ'!J164</f>
        <v>282.00000000000006</v>
      </c>
      <c r="D50" s="391">
        <f>'JN-ESQ'!K164</f>
        <v>163.92000000000002</v>
      </c>
      <c r="E50" s="391">
        <f>'JN-ESQ'!L164</f>
        <v>118.08000000000001</v>
      </c>
      <c r="F50" s="391">
        <f>'JN-ESQ'!M164</f>
        <v>0</v>
      </c>
    </row>
    <row r="51" spans="1:6">
      <c r="A51" s="822"/>
      <c r="B51" s="3" t="s">
        <v>2156</v>
      </c>
      <c r="C51" s="391">
        <f>'JN-ESQ'!K216</f>
        <v>289.61279999999999</v>
      </c>
      <c r="D51" s="391">
        <f>'JN-ESQ'!L216</f>
        <v>66.905600000000007</v>
      </c>
      <c r="E51" s="391">
        <f>'JN-ESQ'!M216</f>
        <v>222.70720000000003</v>
      </c>
      <c r="F51" s="391">
        <f>'JN-ESQ'!N216</f>
        <v>0</v>
      </c>
    </row>
    <row r="52" spans="1:6">
      <c r="A52" s="822"/>
      <c r="B52" s="3" t="s">
        <v>2155</v>
      </c>
      <c r="C52" s="391">
        <f>'JN-ESQ'!J284</f>
        <v>549.79999999999984</v>
      </c>
      <c r="D52" s="391">
        <f>'JN-ESQ'!K284</f>
        <v>324.95999999999998</v>
      </c>
      <c r="E52" s="391">
        <f>'JN-ESQ'!L284</f>
        <v>222.32</v>
      </c>
      <c r="F52" s="391">
        <f>'JN-ESQ'!M284</f>
        <v>0</v>
      </c>
    </row>
    <row r="53" spans="1:6">
      <c r="A53" s="822"/>
      <c r="B53" s="3" t="s">
        <v>2154</v>
      </c>
      <c r="C53" s="391">
        <f>'JN-ESQ'!K337</f>
        <v>318.17999999999995</v>
      </c>
      <c r="D53" s="391">
        <f>'JN-ESQ'!L337</f>
        <v>78.699999999999989</v>
      </c>
      <c r="E53" s="391">
        <f>'JN-ESQ'!M337</f>
        <v>229.67999999999995</v>
      </c>
      <c r="F53" s="391">
        <f>'JN-ESQ'!N337</f>
        <v>0</v>
      </c>
    </row>
    <row r="54" spans="1:6">
      <c r="A54" s="822"/>
      <c r="B54" s="3" t="s">
        <v>2153</v>
      </c>
      <c r="C54" s="409">
        <f>'JN-ESQ'!J361</f>
        <v>372.29500000000002</v>
      </c>
      <c r="D54" s="409">
        <f>'JN-ESQ'!K361</f>
        <v>0</v>
      </c>
      <c r="E54" s="409">
        <f>'JN-ESQ'!L361</f>
        <v>0</v>
      </c>
      <c r="F54" s="409">
        <f>'JN-ESQ'!M361</f>
        <v>0</v>
      </c>
    </row>
    <row r="55" spans="1:6" ht="19.5" customHeight="1">
      <c r="A55" s="822"/>
      <c r="C55" s="823" t="s">
        <v>2152</v>
      </c>
      <c r="D55" s="823"/>
      <c r="E55" s="823" t="s">
        <v>2151</v>
      </c>
      <c r="F55" s="823"/>
    </row>
    <row r="56" spans="1:6">
      <c r="A56" s="822"/>
      <c r="B56" t="s">
        <v>563</v>
      </c>
      <c r="C56" s="824">
        <f>SUM(C47:D54)</f>
        <v>3970.4533999999999</v>
      </c>
      <c r="D56" s="824"/>
      <c r="E56" s="824">
        <f>SUM(E47:F54)</f>
        <v>1090.8672000000001</v>
      </c>
      <c r="F56" s="824"/>
    </row>
    <row r="59" spans="1:6" ht="31.5" customHeight="1">
      <c r="A59" s="821" t="s">
        <v>2162</v>
      </c>
      <c r="B59" s="821"/>
      <c r="C59" s="821"/>
      <c r="D59" s="821"/>
      <c r="E59" s="821"/>
      <c r="F59" s="821"/>
    </row>
    <row r="60" spans="1:6" ht="48.75" customHeight="1">
      <c r="A60" s="822" t="s">
        <v>2161</v>
      </c>
      <c r="B60" s="3" t="s">
        <v>100</v>
      </c>
      <c r="C60" s="395" t="s">
        <v>2058</v>
      </c>
      <c r="D60" s="395" t="s">
        <v>2057</v>
      </c>
      <c r="E60" s="395" t="s">
        <v>2056</v>
      </c>
      <c r="F60" s="395" t="s">
        <v>2055</v>
      </c>
    </row>
    <row r="61" spans="1:6">
      <c r="A61" s="822"/>
      <c r="B61" s="3" t="s">
        <v>2160</v>
      </c>
      <c r="C61" s="391">
        <f>'JN-ESQ'!J378</f>
        <v>9.2927999999999997</v>
      </c>
      <c r="D61" s="391">
        <f>'JN-ESQ'!K378</f>
        <v>0</v>
      </c>
      <c r="E61" s="391">
        <f>'JN-ESQ'!L378</f>
        <v>0</v>
      </c>
      <c r="F61" s="391">
        <f>'JN-ESQ'!M378</f>
        <v>0</v>
      </c>
    </row>
    <row r="62" spans="1:6">
      <c r="A62" s="822"/>
      <c r="B62" s="3" t="s">
        <v>2159</v>
      </c>
      <c r="C62" s="391">
        <f>'JN-ESQ'!J394</f>
        <v>7.7439999999999998</v>
      </c>
      <c r="D62" s="391">
        <f>'JN-ESQ'!K394</f>
        <v>0</v>
      </c>
      <c r="E62" s="391">
        <f>'JN-ESQ'!L394</f>
        <v>0</v>
      </c>
      <c r="F62" s="391">
        <f>'JN-ESQ'!M394</f>
        <v>0</v>
      </c>
    </row>
    <row r="63" spans="1:6">
      <c r="A63" s="822"/>
      <c r="B63" s="3" t="s">
        <v>2158</v>
      </c>
      <c r="C63" s="391">
        <f>'JN-ESQ'!K413</f>
        <v>337.56799999999998</v>
      </c>
      <c r="D63" s="391">
        <f>'JN-ESQ'!L413</f>
        <v>0</v>
      </c>
      <c r="E63" s="391">
        <f>'JN-ESQ'!M413</f>
        <v>0</v>
      </c>
      <c r="F63" s="391">
        <f>'JN-ESQ'!N413</f>
        <v>0</v>
      </c>
    </row>
    <row r="64" spans="1:6">
      <c r="A64" s="822"/>
      <c r="B64" s="3" t="s">
        <v>2157</v>
      </c>
      <c r="C64" s="391">
        <f>'JN-ESQ'!J431</f>
        <v>59.884799999999998</v>
      </c>
      <c r="D64" s="391">
        <f>'JN-ESQ'!K431</f>
        <v>0</v>
      </c>
      <c r="E64" s="391">
        <f>'JN-ESQ'!L431</f>
        <v>0</v>
      </c>
      <c r="F64" s="391">
        <f>'JN-ESQ'!M431</f>
        <v>0</v>
      </c>
    </row>
    <row r="65" spans="1:14">
      <c r="A65" s="822"/>
      <c r="B65" s="3" t="s">
        <v>2156</v>
      </c>
      <c r="C65" s="391">
        <f>'JN-ESQ'!K474</f>
        <v>47.975999999999999</v>
      </c>
      <c r="D65" s="391">
        <f>'JN-ESQ'!L474</f>
        <v>0</v>
      </c>
      <c r="E65" s="391">
        <f>'JN-ESQ'!M474</f>
        <v>0</v>
      </c>
      <c r="F65" s="391">
        <f>'JN-ESQ'!N474</f>
        <v>0</v>
      </c>
    </row>
    <row r="66" spans="1:14">
      <c r="A66" s="822"/>
      <c r="B66" s="3" t="s">
        <v>2155</v>
      </c>
      <c r="C66" s="391">
        <f>'JN-ESQ'!J530</f>
        <v>32.438399999999994</v>
      </c>
      <c r="D66" s="391">
        <f>'JN-ESQ'!K530</f>
        <v>0</v>
      </c>
      <c r="E66" s="391">
        <f>'JN-ESQ'!L530</f>
        <v>0</v>
      </c>
      <c r="F66" s="391">
        <f>'JN-ESQ'!M530</f>
        <v>0</v>
      </c>
    </row>
    <row r="67" spans="1:14">
      <c r="A67" s="822"/>
      <c r="B67" s="3" t="s">
        <v>2154</v>
      </c>
      <c r="C67" s="391">
        <f>'JN-ESQ'!K598</f>
        <v>66.738200000000006</v>
      </c>
      <c r="D67" s="391">
        <f>'JN-ESQ'!L598</f>
        <v>0</v>
      </c>
      <c r="E67" s="391">
        <f>'JN-ESQ'!M598</f>
        <v>0</v>
      </c>
      <c r="F67" s="391">
        <f>'JN-ESQ'!N598</f>
        <v>0</v>
      </c>
    </row>
    <row r="68" spans="1:14">
      <c r="A68" s="822"/>
      <c r="B68" s="3" t="s">
        <v>2153</v>
      </c>
      <c r="C68" s="391">
        <f>'JN-ESQ'!J626</f>
        <v>17.298000000000002</v>
      </c>
      <c r="D68" s="391">
        <f>'JN-ESQ'!K626</f>
        <v>0</v>
      </c>
      <c r="E68" s="391">
        <f>'JN-ESQ'!L626</f>
        <v>0</v>
      </c>
      <c r="F68" s="391">
        <f>'JN-ESQ'!M626</f>
        <v>0</v>
      </c>
    </row>
    <row r="69" spans="1:14">
      <c r="A69" s="822"/>
      <c r="C69" s="823" t="s">
        <v>2152</v>
      </c>
      <c r="D69" s="823"/>
      <c r="E69" s="823" t="s">
        <v>2151</v>
      </c>
      <c r="F69" s="823"/>
    </row>
    <row r="70" spans="1:14">
      <c r="A70" s="822"/>
      <c r="B70" t="s">
        <v>563</v>
      </c>
      <c r="C70" s="824">
        <f>SUM(C61:D68)</f>
        <v>578.9402</v>
      </c>
      <c r="D70" s="824"/>
      <c r="E70" s="824">
        <f>SUM(E61:F68)</f>
        <v>0</v>
      </c>
      <c r="F70" s="824"/>
    </row>
    <row r="77" spans="1:14" ht="18.75">
      <c r="A77" s="814" t="s">
        <v>2150</v>
      </c>
      <c r="B77" s="813"/>
      <c r="C77" s="813"/>
      <c r="D77" s="813"/>
      <c r="E77" s="813"/>
      <c r="F77" s="813"/>
      <c r="G77" s="813"/>
      <c r="H77" s="813"/>
      <c r="I77" s="813"/>
      <c r="J77" s="813"/>
      <c r="K77" s="813"/>
      <c r="L77" s="813"/>
      <c r="M77" s="813"/>
      <c r="N77" s="813"/>
    </row>
    <row r="78" spans="1:14" ht="78.75">
      <c r="A78" s="812" t="s">
        <v>2132</v>
      </c>
      <c r="B78" s="811" t="s">
        <v>1488</v>
      </c>
      <c r="C78" s="397"/>
      <c r="D78" s="393" t="s">
        <v>100</v>
      </c>
      <c r="E78" s="393" t="s">
        <v>2062</v>
      </c>
      <c r="F78" s="393" t="s">
        <v>2061</v>
      </c>
      <c r="G78" s="393" t="s">
        <v>2060</v>
      </c>
      <c r="H78" s="393" t="s">
        <v>2059</v>
      </c>
      <c r="I78" s="393" t="s">
        <v>2054</v>
      </c>
      <c r="J78" s="394" t="s">
        <v>2058</v>
      </c>
      <c r="K78" s="394" t="s">
        <v>2057</v>
      </c>
      <c r="L78" s="394" t="s">
        <v>2056</v>
      </c>
      <c r="M78" s="394" t="s">
        <v>2055</v>
      </c>
      <c r="N78" s="394" t="s">
        <v>2054</v>
      </c>
    </row>
    <row r="79" spans="1:14" ht="15.75">
      <c r="A79" s="812"/>
      <c r="B79" s="811"/>
      <c r="C79" s="393" t="s">
        <v>2126</v>
      </c>
      <c r="D79" s="397" t="s">
        <v>2149</v>
      </c>
      <c r="E79" s="397">
        <v>1.6</v>
      </c>
      <c r="F79" s="397">
        <v>1.8</v>
      </c>
      <c r="G79" s="397">
        <f>E79*F79</f>
        <v>2.8800000000000003</v>
      </c>
      <c r="H79" s="397">
        <v>31</v>
      </c>
      <c r="I79" s="397">
        <f>G79*H79</f>
        <v>89.280000000000015</v>
      </c>
      <c r="J79" s="397">
        <f>I79</f>
        <v>89.280000000000015</v>
      </c>
      <c r="K79" s="397">
        <f>I79</f>
        <v>89.280000000000015</v>
      </c>
      <c r="L79" s="397" t="s">
        <v>100</v>
      </c>
      <c r="M79" s="397" t="s">
        <v>100</v>
      </c>
      <c r="N79" s="3">
        <f>SUM(J79:K79)</f>
        <v>178.56000000000003</v>
      </c>
    </row>
    <row r="80" spans="1:14" ht="15.75">
      <c r="A80" s="812"/>
      <c r="B80" s="811"/>
      <c r="C80" s="812"/>
      <c r="D80" s="812"/>
      <c r="E80" s="812"/>
      <c r="F80" s="812"/>
      <c r="G80" s="812"/>
      <c r="H80" s="812"/>
      <c r="I80" s="397"/>
      <c r="J80" s="397"/>
      <c r="K80" s="813"/>
      <c r="L80" s="813"/>
      <c r="M80" s="813"/>
      <c r="N80" s="397"/>
    </row>
    <row r="81" spans="1:14" ht="15.75">
      <c r="A81" s="812"/>
      <c r="B81" s="811"/>
      <c r="C81" s="394" t="s">
        <v>2125</v>
      </c>
      <c r="D81" s="397" t="s">
        <v>2149</v>
      </c>
      <c r="E81" s="397">
        <v>1.6</v>
      </c>
      <c r="F81" s="397">
        <v>1.8</v>
      </c>
      <c r="G81" s="397">
        <f>E81*F81</f>
        <v>2.8800000000000003</v>
      </c>
      <c r="H81" s="397">
        <v>32</v>
      </c>
      <c r="I81" s="397">
        <f>G81*H81</f>
        <v>92.160000000000011</v>
      </c>
      <c r="J81" s="397">
        <f>I81</f>
        <v>92.160000000000011</v>
      </c>
      <c r="K81" s="397" t="s">
        <v>100</v>
      </c>
      <c r="L81" s="397">
        <f>I81</f>
        <v>92.160000000000011</v>
      </c>
      <c r="M81" s="397" t="s">
        <v>100</v>
      </c>
      <c r="N81" s="397">
        <f>SUM(J81:L81)</f>
        <v>184.32000000000002</v>
      </c>
    </row>
    <row r="82" spans="1:14" ht="15.75">
      <c r="A82" s="812"/>
      <c r="B82" s="811"/>
      <c r="C82" s="812"/>
      <c r="D82" s="812"/>
      <c r="E82" s="812"/>
      <c r="F82" s="812"/>
      <c r="G82" s="812"/>
      <c r="H82" s="812"/>
      <c r="I82" s="397"/>
      <c r="J82" s="813"/>
      <c r="K82" s="813"/>
      <c r="L82" s="813"/>
      <c r="M82" s="813"/>
      <c r="N82" s="397"/>
    </row>
    <row r="83" spans="1:14" ht="15.75">
      <c r="A83" s="812"/>
      <c r="B83" s="811"/>
      <c r="C83" s="394" t="s">
        <v>2126</v>
      </c>
      <c r="D83" s="397" t="s">
        <v>2146</v>
      </c>
      <c r="E83" s="397">
        <v>1.6</v>
      </c>
      <c r="F83" s="397">
        <v>0.9</v>
      </c>
      <c r="G83" s="397">
        <f>E83*F83</f>
        <v>1.4400000000000002</v>
      </c>
      <c r="H83" s="397">
        <v>5</v>
      </c>
      <c r="I83" s="397">
        <f>G83*H83</f>
        <v>7.2000000000000011</v>
      </c>
      <c r="J83" s="397">
        <f>I83</f>
        <v>7.2000000000000011</v>
      </c>
      <c r="K83" s="397">
        <f>I83</f>
        <v>7.2000000000000011</v>
      </c>
      <c r="L83" s="397" t="s">
        <v>100</v>
      </c>
      <c r="M83" s="397" t="s">
        <v>100</v>
      </c>
      <c r="N83" s="397">
        <f>SUM(J83:K83)</f>
        <v>14.400000000000002</v>
      </c>
    </row>
    <row r="84" spans="1:14" ht="15.75">
      <c r="A84" s="812"/>
      <c r="B84" s="811"/>
      <c r="C84" s="812"/>
      <c r="D84" s="812"/>
      <c r="E84" s="812"/>
      <c r="F84" s="812"/>
      <c r="G84" s="812"/>
      <c r="H84" s="812"/>
      <c r="I84" s="397"/>
      <c r="J84" s="813"/>
      <c r="K84" s="813"/>
      <c r="L84" s="813"/>
      <c r="M84" s="813"/>
      <c r="N84" s="397"/>
    </row>
    <row r="85" spans="1:14" ht="15.75">
      <c r="A85" s="812"/>
      <c r="B85" s="811"/>
      <c r="C85" s="394" t="s">
        <v>2125</v>
      </c>
      <c r="D85" s="397" t="s">
        <v>2146</v>
      </c>
      <c r="E85" s="397">
        <v>1.6</v>
      </c>
      <c r="F85" s="397">
        <v>0.9</v>
      </c>
      <c r="G85" s="397">
        <f>E85*F85</f>
        <v>1.4400000000000002</v>
      </c>
      <c r="H85" s="397">
        <v>5</v>
      </c>
      <c r="I85" s="397">
        <f>G85*H85</f>
        <v>7.2000000000000011</v>
      </c>
      <c r="J85" s="397">
        <f>I85</f>
        <v>7.2000000000000011</v>
      </c>
      <c r="K85" s="397" t="s">
        <v>100</v>
      </c>
      <c r="L85" s="397">
        <f>I85</f>
        <v>7.2000000000000011</v>
      </c>
      <c r="M85" s="397" t="s">
        <v>100</v>
      </c>
      <c r="N85" s="397">
        <f>SUM(J85:L85)</f>
        <v>14.400000000000002</v>
      </c>
    </row>
    <row r="86" spans="1:14">
      <c r="A86" s="812"/>
      <c r="B86" s="811"/>
      <c r="C86" s="816"/>
      <c r="D86" s="816"/>
      <c r="E86" s="816"/>
      <c r="F86" s="816"/>
      <c r="G86" s="816"/>
      <c r="H86" s="816"/>
      <c r="I86" s="398"/>
      <c r="J86" s="817"/>
      <c r="K86" s="817"/>
      <c r="L86" s="817"/>
      <c r="M86" s="817"/>
      <c r="N86" s="397"/>
    </row>
    <row r="87" spans="1:14" ht="15.75">
      <c r="A87" s="812"/>
      <c r="B87" s="811"/>
      <c r="C87" s="813"/>
      <c r="D87" s="813"/>
      <c r="E87" s="813"/>
      <c r="F87" s="813"/>
      <c r="G87" s="813"/>
      <c r="H87" s="393" t="s">
        <v>2063</v>
      </c>
      <c r="I87" s="397">
        <f>SUM(I79:I85)</f>
        <v>195.84</v>
      </c>
      <c r="J87" s="815"/>
      <c r="K87" s="815"/>
      <c r="L87" s="815"/>
      <c r="M87" s="393" t="s">
        <v>2063</v>
      </c>
      <c r="N87" s="397">
        <f>SUM(N79:N85)</f>
        <v>391.68</v>
      </c>
    </row>
    <row r="88" spans="1:14">
      <c r="A88" s="812"/>
      <c r="B88" s="811"/>
      <c r="C88" s="813"/>
      <c r="D88" s="813"/>
      <c r="E88" s="813"/>
      <c r="F88" s="813"/>
      <c r="G88" s="813"/>
      <c r="H88" s="813"/>
      <c r="I88" s="813"/>
      <c r="J88" s="813"/>
      <c r="K88" s="813"/>
      <c r="L88" s="813"/>
      <c r="M88" s="813"/>
      <c r="N88" s="813"/>
    </row>
    <row r="89" spans="1:14" ht="78.75">
      <c r="A89" s="812"/>
      <c r="B89" s="811" t="s">
        <v>1487</v>
      </c>
      <c r="C89" s="811"/>
      <c r="D89" s="393" t="s">
        <v>100</v>
      </c>
      <c r="E89" s="393" t="s">
        <v>2062</v>
      </c>
      <c r="F89" s="393" t="s">
        <v>2061</v>
      </c>
      <c r="G89" s="393" t="s">
        <v>2060</v>
      </c>
      <c r="H89" s="393" t="s">
        <v>2059</v>
      </c>
      <c r="I89" s="393" t="s">
        <v>2054</v>
      </c>
      <c r="J89" s="394" t="s">
        <v>2058</v>
      </c>
      <c r="K89" s="394" t="s">
        <v>2057</v>
      </c>
      <c r="L89" s="394" t="s">
        <v>2056</v>
      </c>
      <c r="M89" s="394" t="s">
        <v>2055</v>
      </c>
      <c r="N89" s="394" t="s">
        <v>2054</v>
      </c>
    </row>
    <row r="90" spans="1:14">
      <c r="A90" s="812"/>
      <c r="B90" s="811"/>
      <c r="C90" s="811"/>
      <c r="D90" s="397" t="s">
        <v>2149</v>
      </c>
      <c r="E90" s="397">
        <v>1.6</v>
      </c>
      <c r="F90" s="397">
        <v>1.8</v>
      </c>
      <c r="G90" s="397">
        <f>F90*E90</f>
        <v>2.8800000000000003</v>
      </c>
      <c r="H90" s="397">
        <v>24</v>
      </c>
      <c r="I90" s="397">
        <f>G90*H90</f>
        <v>69.12</v>
      </c>
      <c r="J90" s="397">
        <f>I90</f>
        <v>69.12</v>
      </c>
      <c r="K90" s="397">
        <f>I90</f>
        <v>69.12</v>
      </c>
      <c r="L90" s="397" t="s">
        <v>100</v>
      </c>
      <c r="M90" s="397" t="s">
        <v>100</v>
      </c>
      <c r="N90" s="397">
        <f>SUM(J90:K90)</f>
        <v>138.24</v>
      </c>
    </row>
    <row r="91" spans="1:14">
      <c r="A91" s="812"/>
      <c r="B91" s="811"/>
      <c r="C91" s="811"/>
      <c r="D91" s="397" t="s">
        <v>2146</v>
      </c>
      <c r="E91" s="397">
        <v>1.6</v>
      </c>
      <c r="F91" s="397">
        <v>0.9</v>
      </c>
      <c r="G91" s="397">
        <f>F91*E91</f>
        <v>1.4400000000000002</v>
      </c>
      <c r="H91" s="397">
        <v>6</v>
      </c>
      <c r="I91" s="397">
        <f>G91*H91</f>
        <v>8.64</v>
      </c>
      <c r="J91" s="397">
        <f>I91</f>
        <v>8.64</v>
      </c>
      <c r="K91" s="397">
        <f>I91</f>
        <v>8.64</v>
      </c>
      <c r="L91" s="397" t="s">
        <v>100</v>
      </c>
      <c r="M91" s="397" t="s">
        <v>100</v>
      </c>
      <c r="N91" s="397">
        <f>SUM(J91:K91)</f>
        <v>17.28</v>
      </c>
    </row>
    <row r="92" spans="1:14">
      <c r="A92" s="812"/>
      <c r="B92" s="811"/>
      <c r="C92" s="811"/>
      <c r="D92" s="815"/>
      <c r="E92" s="815"/>
      <c r="F92" s="815"/>
      <c r="G92" s="815"/>
      <c r="H92" s="815"/>
      <c r="I92" s="398"/>
      <c r="J92" s="815"/>
      <c r="K92" s="815"/>
      <c r="L92" s="815"/>
      <c r="M92" s="815"/>
      <c r="N92" s="404"/>
    </row>
    <row r="93" spans="1:14" ht="15.75">
      <c r="A93" s="812"/>
      <c r="B93" s="811"/>
      <c r="C93" s="811"/>
      <c r="D93" s="815"/>
      <c r="E93" s="815"/>
      <c r="F93" s="815"/>
      <c r="G93" s="815"/>
      <c r="H93" s="393" t="s">
        <v>2063</v>
      </c>
      <c r="I93" s="397">
        <f>SUM(I90:I91)</f>
        <v>77.760000000000005</v>
      </c>
      <c r="J93" s="815"/>
      <c r="K93" s="815"/>
      <c r="L93" s="815"/>
      <c r="M93" s="403" t="s">
        <v>2063</v>
      </c>
      <c r="N93" s="397">
        <f>SUM(N90:N91)</f>
        <v>155.52000000000001</v>
      </c>
    </row>
    <row r="94" spans="1:14">
      <c r="A94" s="812"/>
      <c r="B94" s="811"/>
      <c r="C94" s="811"/>
      <c r="D94" s="815"/>
      <c r="E94" s="815"/>
      <c r="F94" s="815"/>
      <c r="G94" s="815"/>
      <c r="H94" s="815"/>
      <c r="I94" s="815"/>
      <c r="J94" s="815"/>
      <c r="K94" s="815"/>
      <c r="L94" s="815"/>
      <c r="M94" s="815"/>
      <c r="N94" s="815"/>
    </row>
    <row r="95" spans="1:14" ht="78.75">
      <c r="A95" s="812"/>
      <c r="B95" s="811" t="s">
        <v>1348</v>
      </c>
      <c r="C95" s="811"/>
      <c r="D95" s="393" t="s">
        <v>100</v>
      </c>
      <c r="E95" s="393" t="s">
        <v>2062</v>
      </c>
      <c r="F95" s="393" t="s">
        <v>2061</v>
      </c>
      <c r="G95" s="393" t="s">
        <v>2060</v>
      </c>
      <c r="H95" s="393" t="s">
        <v>2059</v>
      </c>
      <c r="I95" s="393" t="s">
        <v>2054</v>
      </c>
      <c r="J95" s="394" t="s">
        <v>2058</v>
      </c>
      <c r="K95" s="394" t="s">
        <v>2057</v>
      </c>
      <c r="L95" s="394" t="s">
        <v>2056</v>
      </c>
      <c r="M95" s="394" t="s">
        <v>2055</v>
      </c>
      <c r="N95" s="394" t="s">
        <v>2054</v>
      </c>
    </row>
    <row r="96" spans="1:14">
      <c r="A96" s="812"/>
      <c r="B96" s="811"/>
      <c r="C96" s="811"/>
      <c r="D96" s="398" t="s">
        <v>2148</v>
      </c>
      <c r="E96" s="398">
        <v>3.2</v>
      </c>
      <c r="F96" s="398">
        <v>0.9</v>
      </c>
      <c r="G96" s="398">
        <f>E96*F96</f>
        <v>2.8800000000000003</v>
      </c>
      <c r="H96" s="398">
        <v>3</v>
      </c>
      <c r="I96" s="398">
        <f>G96*H96</f>
        <v>8.64</v>
      </c>
      <c r="J96" s="398">
        <f>I96</f>
        <v>8.64</v>
      </c>
      <c r="K96" s="398">
        <f>I96</f>
        <v>8.64</v>
      </c>
      <c r="L96" s="398" t="s">
        <v>100</v>
      </c>
      <c r="M96" s="398" t="s">
        <v>100</v>
      </c>
      <c r="N96" s="398">
        <f>SUM(J96:K96)</f>
        <v>17.28</v>
      </c>
    </row>
    <row r="97" spans="1:14">
      <c r="A97" s="812"/>
      <c r="B97" s="811"/>
      <c r="C97" s="811"/>
      <c r="D97" s="398" t="s">
        <v>2147</v>
      </c>
      <c r="E97" s="398">
        <v>0.8</v>
      </c>
      <c r="F97" s="398">
        <v>0.9</v>
      </c>
      <c r="G97" s="398">
        <f>E97*F97</f>
        <v>0.72000000000000008</v>
      </c>
      <c r="H97" s="398">
        <v>1</v>
      </c>
      <c r="I97" s="398">
        <f>G97*H97</f>
        <v>0.72000000000000008</v>
      </c>
      <c r="J97" s="398">
        <f>I97</f>
        <v>0.72000000000000008</v>
      </c>
      <c r="K97" s="398">
        <f>I97</f>
        <v>0.72000000000000008</v>
      </c>
      <c r="L97" s="398" t="s">
        <v>100</v>
      </c>
      <c r="M97" s="398" t="s">
        <v>100</v>
      </c>
      <c r="N97" s="398">
        <f>SUM(J97:K97)</f>
        <v>1.4400000000000002</v>
      </c>
    </row>
    <row r="98" spans="1:14">
      <c r="A98" s="812"/>
      <c r="B98" s="811"/>
      <c r="C98" s="811"/>
      <c r="D98" s="398" t="s">
        <v>2146</v>
      </c>
      <c r="E98" s="398">
        <v>1.6</v>
      </c>
      <c r="F98" s="398">
        <v>0.9</v>
      </c>
      <c r="G98" s="398">
        <f>E98*F98</f>
        <v>1.4400000000000002</v>
      </c>
      <c r="H98" s="398">
        <v>1</v>
      </c>
      <c r="I98" s="398">
        <f>G98*H98</f>
        <v>1.4400000000000002</v>
      </c>
      <c r="J98" s="398">
        <f>I98</f>
        <v>1.4400000000000002</v>
      </c>
      <c r="K98" s="398">
        <f>I98</f>
        <v>1.4400000000000002</v>
      </c>
      <c r="L98" s="398" t="s">
        <v>100</v>
      </c>
      <c r="M98" s="398" t="s">
        <v>100</v>
      </c>
      <c r="N98" s="398">
        <f>SUM(J98:K98)</f>
        <v>2.8800000000000003</v>
      </c>
    </row>
    <row r="99" spans="1:14">
      <c r="A99" s="812"/>
      <c r="B99" s="811"/>
      <c r="C99" s="811"/>
      <c r="D99" s="815"/>
      <c r="E99" s="815"/>
      <c r="F99" s="815"/>
      <c r="G99" s="815"/>
      <c r="H99" s="815"/>
      <c r="I99" s="398"/>
      <c r="J99" s="815"/>
      <c r="K99" s="815"/>
      <c r="L99" s="815"/>
      <c r="M99" s="815"/>
      <c r="N99" s="404"/>
    </row>
    <row r="100" spans="1:14" ht="15.75">
      <c r="A100" s="812"/>
      <c r="B100" s="811"/>
      <c r="C100" s="811"/>
      <c r="D100" s="815"/>
      <c r="E100" s="815"/>
      <c r="F100" s="815"/>
      <c r="G100" s="815"/>
      <c r="H100" s="393" t="s">
        <v>2063</v>
      </c>
      <c r="I100" s="397">
        <f>SUM(I96:I98)</f>
        <v>10.8</v>
      </c>
      <c r="J100" s="815"/>
      <c r="K100" s="815"/>
      <c r="L100" s="815"/>
      <c r="M100" s="393" t="s">
        <v>2063</v>
      </c>
      <c r="N100" s="397">
        <f>SUM(N96:N98)</f>
        <v>21.6</v>
      </c>
    </row>
    <row r="101" spans="1:14" ht="78.75">
      <c r="B101" s="810" t="s">
        <v>2063</v>
      </c>
      <c r="C101" s="810"/>
      <c r="D101" s="396" t="s">
        <v>100</v>
      </c>
      <c r="E101" s="396" t="s">
        <v>2062</v>
      </c>
      <c r="F101" s="396" t="s">
        <v>2061</v>
      </c>
      <c r="G101" s="396" t="s">
        <v>2060</v>
      </c>
      <c r="H101" s="396" t="s">
        <v>2059</v>
      </c>
      <c r="I101" s="396" t="s">
        <v>2054</v>
      </c>
      <c r="J101" s="395" t="s">
        <v>2058</v>
      </c>
      <c r="K101" s="395" t="s">
        <v>2057</v>
      </c>
      <c r="L101" s="395" t="s">
        <v>2056</v>
      </c>
      <c r="M101" s="395" t="s">
        <v>2055</v>
      </c>
      <c r="N101" s="395" t="s">
        <v>2054</v>
      </c>
    </row>
    <row r="102" spans="1:14">
      <c r="B102" s="810"/>
      <c r="C102" s="810"/>
      <c r="D102" s="392"/>
      <c r="E102" s="392"/>
      <c r="F102" s="392"/>
      <c r="G102" s="392"/>
      <c r="H102" s="391">
        <f>SUM(H79,H81,H83,H85,H90,H91,H96,H97,H98)</f>
        <v>108</v>
      </c>
      <c r="I102" s="391">
        <f>SUM(I87,I93,I100)</f>
        <v>284.40000000000003</v>
      </c>
      <c r="J102" s="391">
        <f>SUM(J79,J81,J83,J85,J90,J91,J96,J97,J98)</f>
        <v>284.40000000000003</v>
      </c>
      <c r="K102" s="391">
        <f>SUM(K79,K81,K83,K85,K90,K91,K96,K97,K98)</f>
        <v>185.04</v>
      </c>
      <c r="L102" s="391">
        <f>SUM(L79,L81,L83,L85,L90,L91,L96,L97,L98)</f>
        <v>99.360000000000014</v>
      </c>
      <c r="M102" s="391">
        <f>SUM(M79,M81,M83,M85,M90,M91,M96,M97,M98)</f>
        <v>0</v>
      </c>
      <c r="N102" s="391">
        <f>SUM(N87,N93,N100)</f>
        <v>568.80000000000007</v>
      </c>
    </row>
    <row r="108" spans="1:14" ht="18.75">
      <c r="A108" s="814" t="s">
        <v>2145</v>
      </c>
      <c r="B108" s="814"/>
      <c r="C108" s="814"/>
      <c r="D108" s="814"/>
      <c r="E108" s="814"/>
      <c r="F108" s="814"/>
      <c r="G108" s="814"/>
      <c r="H108" s="814"/>
      <c r="I108" s="814"/>
      <c r="J108" s="814"/>
      <c r="K108" s="814"/>
      <c r="L108" s="814"/>
      <c r="M108" s="814"/>
      <c r="N108" s="814"/>
    </row>
    <row r="109" spans="1:14" ht="78.75">
      <c r="A109" s="812" t="s">
        <v>2130</v>
      </c>
      <c r="B109" s="811" t="s">
        <v>1486</v>
      </c>
      <c r="C109" s="403"/>
      <c r="D109" s="393" t="s">
        <v>100</v>
      </c>
      <c r="E109" s="393" t="s">
        <v>2062</v>
      </c>
      <c r="F109" s="393" t="s">
        <v>2061</v>
      </c>
      <c r="G109" s="393" t="s">
        <v>2060</v>
      </c>
      <c r="H109" s="393" t="s">
        <v>2059</v>
      </c>
      <c r="I109" s="393" t="s">
        <v>2054</v>
      </c>
      <c r="J109" s="394" t="s">
        <v>2058</v>
      </c>
      <c r="K109" s="394" t="s">
        <v>2057</v>
      </c>
      <c r="L109" s="394" t="s">
        <v>2056</v>
      </c>
      <c r="M109" s="394" t="s">
        <v>2055</v>
      </c>
      <c r="N109" s="394" t="s">
        <v>2054</v>
      </c>
    </row>
    <row r="110" spans="1:14" ht="15.75">
      <c r="A110" s="812"/>
      <c r="B110" s="811"/>
      <c r="C110" s="394" t="s">
        <v>2126</v>
      </c>
      <c r="D110" s="397" t="s">
        <v>2143</v>
      </c>
      <c r="E110" s="397">
        <v>1.6</v>
      </c>
      <c r="F110" s="397">
        <v>1.8</v>
      </c>
      <c r="G110" s="397">
        <v>2.88</v>
      </c>
      <c r="H110" s="397">
        <v>31</v>
      </c>
      <c r="I110" s="397">
        <f>G110*H110</f>
        <v>89.28</v>
      </c>
      <c r="J110" s="397">
        <f>I110</f>
        <v>89.28</v>
      </c>
      <c r="K110" s="397">
        <f>J110</f>
        <v>89.28</v>
      </c>
      <c r="L110" s="397" t="s">
        <v>100</v>
      </c>
      <c r="M110" s="397" t="s">
        <v>100</v>
      </c>
      <c r="N110" s="397">
        <f>J110+K110</f>
        <v>178.56</v>
      </c>
    </row>
    <row r="111" spans="1:14" ht="15.75">
      <c r="A111" s="812"/>
      <c r="B111" s="811"/>
      <c r="C111" s="394" t="s">
        <v>2125</v>
      </c>
      <c r="D111" s="397" t="s">
        <v>2143</v>
      </c>
      <c r="E111" s="397">
        <v>1.6</v>
      </c>
      <c r="F111" s="397">
        <v>1.8</v>
      </c>
      <c r="G111" s="397">
        <v>2.88</v>
      </c>
      <c r="H111" s="397">
        <v>32</v>
      </c>
      <c r="I111" s="397">
        <f>G111*H111</f>
        <v>92.16</v>
      </c>
      <c r="J111" s="397">
        <f>I111</f>
        <v>92.16</v>
      </c>
      <c r="K111" s="397" t="s">
        <v>100</v>
      </c>
      <c r="L111" s="397">
        <f>J111</f>
        <v>92.16</v>
      </c>
      <c r="M111" s="397" t="s">
        <v>100</v>
      </c>
      <c r="N111" s="397">
        <f>L111+J111</f>
        <v>184.32</v>
      </c>
    </row>
    <row r="112" spans="1:14" ht="15.75">
      <c r="A112" s="812"/>
      <c r="B112" s="811"/>
      <c r="C112" s="394" t="s">
        <v>2126</v>
      </c>
      <c r="D112" s="397" t="s">
        <v>2142</v>
      </c>
      <c r="E112" s="397">
        <v>1.6</v>
      </c>
      <c r="F112" s="397">
        <v>0.9</v>
      </c>
      <c r="G112" s="397">
        <v>1.44</v>
      </c>
      <c r="H112" s="397">
        <v>5</v>
      </c>
      <c r="I112" s="397">
        <f>G112*H112</f>
        <v>7.1999999999999993</v>
      </c>
      <c r="J112" s="397">
        <f>I112</f>
        <v>7.1999999999999993</v>
      </c>
      <c r="K112" s="397">
        <f>J112</f>
        <v>7.1999999999999993</v>
      </c>
      <c r="L112" s="397" t="s">
        <v>100</v>
      </c>
      <c r="M112" s="397" t="s">
        <v>100</v>
      </c>
      <c r="N112" s="397">
        <f>K112+J112</f>
        <v>14.399999999999999</v>
      </c>
    </row>
    <row r="113" spans="1:15" ht="15.75">
      <c r="A113" s="812"/>
      <c r="B113" s="811"/>
      <c r="C113" s="394" t="s">
        <v>2125</v>
      </c>
      <c r="D113" s="397" t="s">
        <v>2142</v>
      </c>
      <c r="E113" s="397">
        <v>1.6</v>
      </c>
      <c r="F113" s="397">
        <v>0.9</v>
      </c>
      <c r="G113" s="397">
        <v>1.44</v>
      </c>
      <c r="H113" s="397">
        <v>5</v>
      </c>
      <c r="I113" s="397">
        <f>G113*H113</f>
        <v>7.1999999999999993</v>
      </c>
      <c r="J113" s="397">
        <f>I113</f>
        <v>7.1999999999999993</v>
      </c>
      <c r="K113" s="397" t="s">
        <v>100</v>
      </c>
      <c r="L113" s="397">
        <f>J113</f>
        <v>7.1999999999999993</v>
      </c>
      <c r="M113" s="397" t="s">
        <v>100</v>
      </c>
      <c r="N113" s="397">
        <f>L113+J113</f>
        <v>14.399999999999999</v>
      </c>
    </row>
    <row r="114" spans="1:15" ht="15.75">
      <c r="A114" s="812"/>
      <c r="B114" s="811"/>
      <c r="C114" s="813"/>
      <c r="D114" s="813"/>
      <c r="E114" s="813"/>
      <c r="F114" s="813"/>
      <c r="G114" s="813"/>
      <c r="H114" s="393" t="s">
        <v>2063</v>
      </c>
      <c r="I114" s="397">
        <f>SUM(I110:I113)</f>
        <v>195.83999999999997</v>
      </c>
      <c r="J114" s="813"/>
      <c r="K114" s="813"/>
      <c r="L114" s="813"/>
      <c r="M114" s="393" t="s">
        <v>2063</v>
      </c>
      <c r="N114" s="397">
        <f>SUM(N110:N113)</f>
        <v>391.67999999999995</v>
      </c>
    </row>
    <row r="115" spans="1:15" ht="15.75">
      <c r="A115" s="812"/>
      <c r="B115" s="811"/>
      <c r="C115" s="811"/>
      <c r="D115" s="811"/>
      <c r="E115" s="811"/>
      <c r="F115" s="811"/>
      <c r="G115" s="811"/>
      <c r="H115" s="811"/>
      <c r="I115" s="811"/>
      <c r="J115" s="811"/>
      <c r="K115" s="811"/>
      <c r="L115" s="811"/>
      <c r="M115" s="811"/>
      <c r="N115" s="811"/>
    </row>
    <row r="116" spans="1:15" ht="78.75">
      <c r="A116" s="812"/>
      <c r="B116" s="811" t="s">
        <v>1485</v>
      </c>
      <c r="C116" s="811"/>
      <c r="D116" s="393" t="s">
        <v>100</v>
      </c>
      <c r="E116" s="393" t="s">
        <v>2062</v>
      </c>
      <c r="F116" s="393" t="s">
        <v>2061</v>
      </c>
      <c r="G116" s="393" t="s">
        <v>2060</v>
      </c>
      <c r="H116" s="393" t="s">
        <v>2059</v>
      </c>
      <c r="I116" s="393" t="s">
        <v>2054</v>
      </c>
      <c r="J116" s="394" t="s">
        <v>2058</v>
      </c>
      <c r="K116" s="394" t="s">
        <v>2057</v>
      </c>
      <c r="L116" s="394" t="s">
        <v>2056</v>
      </c>
      <c r="M116" s="394" t="s">
        <v>2055</v>
      </c>
      <c r="N116" s="394" t="s">
        <v>2054</v>
      </c>
    </row>
    <row r="117" spans="1:15">
      <c r="A117" s="812"/>
      <c r="B117" s="811"/>
      <c r="C117" s="811"/>
      <c r="D117" s="397" t="s">
        <v>2143</v>
      </c>
      <c r="E117" s="397">
        <v>1.6</v>
      </c>
      <c r="F117" s="397">
        <v>1.8</v>
      </c>
      <c r="G117" s="397">
        <v>2.88</v>
      </c>
      <c r="H117" s="397">
        <v>21</v>
      </c>
      <c r="I117" s="397">
        <f>G117*H117</f>
        <v>60.48</v>
      </c>
      <c r="J117" s="397">
        <f>I117</f>
        <v>60.48</v>
      </c>
      <c r="K117" s="397">
        <f>I117</f>
        <v>60.48</v>
      </c>
      <c r="L117" s="397" t="s">
        <v>100</v>
      </c>
      <c r="M117" s="397" t="s">
        <v>100</v>
      </c>
      <c r="N117" s="397">
        <f>J117+K117</f>
        <v>120.96</v>
      </c>
    </row>
    <row r="118" spans="1:15">
      <c r="A118" s="812"/>
      <c r="B118" s="811"/>
      <c r="C118" s="811"/>
      <c r="D118" s="397" t="s">
        <v>2142</v>
      </c>
      <c r="E118" s="397">
        <v>1.6</v>
      </c>
      <c r="F118" s="397">
        <v>0.9</v>
      </c>
      <c r="G118" s="397">
        <v>1.44</v>
      </c>
      <c r="H118" s="397">
        <v>6</v>
      </c>
      <c r="I118" s="397">
        <f>G118*H118</f>
        <v>8.64</v>
      </c>
      <c r="J118" s="397">
        <f>I118</f>
        <v>8.64</v>
      </c>
      <c r="K118" s="397">
        <f>I118</f>
        <v>8.64</v>
      </c>
      <c r="L118" s="397" t="s">
        <v>100</v>
      </c>
      <c r="M118" s="397" t="s">
        <v>100</v>
      </c>
      <c r="N118" s="397">
        <f>J118+K118</f>
        <v>17.28</v>
      </c>
    </row>
    <row r="119" spans="1:15">
      <c r="A119" s="812"/>
      <c r="B119" s="811"/>
      <c r="C119" s="811"/>
      <c r="D119" s="815"/>
      <c r="E119" s="815"/>
      <c r="F119" s="815"/>
      <c r="G119" s="815"/>
      <c r="H119" s="815"/>
      <c r="I119" s="815"/>
      <c r="J119" s="815"/>
      <c r="K119" s="815"/>
      <c r="L119" s="815"/>
      <c r="M119" s="815"/>
      <c r="N119" s="815"/>
    </row>
    <row r="120" spans="1:15" ht="15.75">
      <c r="A120" s="812"/>
      <c r="B120" s="811"/>
      <c r="C120" s="811"/>
      <c r="D120" s="815"/>
      <c r="E120" s="815"/>
      <c r="F120" s="815"/>
      <c r="G120" s="815"/>
      <c r="H120" s="393" t="s">
        <v>2063</v>
      </c>
      <c r="I120" s="397">
        <f>SUM(I117:I118)</f>
        <v>69.12</v>
      </c>
      <c r="J120" s="813"/>
      <c r="K120" s="813"/>
      <c r="L120" s="813"/>
      <c r="M120" s="393" t="s">
        <v>2063</v>
      </c>
      <c r="N120" s="397">
        <f>SUM(N117:N118)</f>
        <v>138.24</v>
      </c>
    </row>
    <row r="121" spans="1:15" ht="15.75">
      <c r="A121" s="408"/>
      <c r="B121" s="400"/>
      <c r="C121" s="390"/>
      <c r="D121" s="398"/>
      <c r="E121" s="398"/>
      <c r="F121" s="398"/>
      <c r="G121" s="398"/>
      <c r="H121" s="398"/>
      <c r="I121" s="398"/>
      <c r="J121" s="404"/>
      <c r="K121" s="404"/>
      <c r="L121" s="404"/>
      <c r="M121" s="404"/>
      <c r="N121" s="404"/>
    </row>
    <row r="122" spans="1:15" ht="78.75">
      <c r="A122" s="407"/>
      <c r="B122" s="810" t="s">
        <v>2063</v>
      </c>
      <c r="C122" s="810"/>
      <c r="D122" s="396" t="s">
        <v>100</v>
      </c>
      <c r="E122" s="396" t="s">
        <v>2062</v>
      </c>
      <c r="F122" s="396" t="s">
        <v>2061</v>
      </c>
      <c r="G122" s="396" t="s">
        <v>2060</v>
      </c>
      <c r="H122" s="396" t="s">
        <v>2059</v>
      </c>
      <c r="I122" s="396" t="s">
        <v>2054</v>
      </c>
      <c r="J122" s="395" t="s">
        <v>2058</v>
      </c>
      <c r="K122" s="395" t="s">
        <v>2057</v>
      </c>
      <c r="L122" s="395" t="s">
        <v>2056</v>
      </c>
      <c r="M122" s="395" t="s">
        <v>2055</v>
      </c>
      <c r="N122" s="395" t="s">
        <v>2054</v>
      </c>
    </row>
    <row r="123" spans="1:15" ht="15.75">
      <c r="A123" s="407"/>
      <c r="B123" s="810"/>
      <c r="C123" s="810"/>
      <c r="D123" s="392"/>
      <c r="E123" s="392"/>
      <c r="F123" s="392"/>
      <c r="G123" s="392"/>
      <c r="H123" s="391">
        <f>SUM(H110:H113,H117,H118)</f>
        <v>100</v>
      </c>
      <c r="I123" s="391">
        <f>SUM(I114,I120)</f>
        <v>264.95999999999998</v>
      </c>
      <c r="J123" s="391">
        <f>SUM(J110:J113,J117,J118)</f>
        <v>264.95999999999998</v>
      </c>
      <c r="K123" s="391">
        <f>SUM(K110:K113,K117,K118)</f>
        <v>165.60000000000002</v>
      </c>
      <c r="L123" s="391">
        <f>SUM(L110:L113,L117,L118)</f>
        <v>99.36</v>
      </c>
      <c r="M123" s="391">
        <f>SUM(M110:M113,M117,M118)</f>
        <v>0</v>
      </c>
      <c r="N123" s="391">
        <f>SUM(N114,N120)</f>
        <v>529.91999999999996</v>
      </c>
    </row>
    <row r="126" spans="1:15" ht="18.75">
      <c r="A126" s="814" t="s">
        <v>2144</v>
      </c>
      <c r="B126" s="814"/>
      <c r="C126" s="814"/>
      <c r="D126" s="814"/>
      <c r="E126" s="814"/>
      <c r="F126" s="814"/>
      <c r="G126" s="814"/>
      <c r="H126" s="814"/>
      <c r="I126" s="814"/>
      <c r="J126" s="814"/>
      <c r="K126" s="814"/>
      <c r="L126" s="814"/>
      <c r="M126" s="814"/>
      <c r="N126" s="814"/>
      <c r="O126" s="814"/>
    </row>
    <row r="127" spans="1:15" ht="78.75">
      <c r="A127" s="814" t="s">
        <v>2128</v>
      </c>
      <c r="B127" s="811" t="s">
        <v>2127</v>
      </c>
      <c r="C127" s="811"/>
      <c r="D127" s="397"/>
      <c r="E127" s="393" t="s">
        <v>100</v>
      </c>
      <c r="F127" s="393" t="s">
        <v>2062</v>
      </c>
      <c r="G127" s="393" t="s">
        <v>2061</v>
      </c>
      <c r="H127" s="393" t="s">
        <v>2060</v>
      </c>
      <c r="I127" s="393" t="s">
        <v>2059</v>
      </c>
      <c r="J127" s="393" t="s">
        <v>2054</v>
      </c>
      <c r="K127" s="394" t="s">
        <v>2058</v>
      </c>
      <c r="L127" s="394" t="s">
        <v>2057</v>
      </c>
      <c r="M127" s="394" t="s">
        <v>2056</v>
      </c>
      <c r="N127" s="394" t="s">
        <v>2055</v>
      </c>
      <c r="O127" s="394" t="s">
        <v>2054</v>
      </c>
    </row>
    <row r="128" spans="1:15" ht="15.75">
      <c r="A128" s="814"/>
      <c r="B128" s="811"/>
      <c r="C128" s="811"/>
      <c r="D128" s="394" t="s">
        <v>2126</v>
      </c>
      <c r="E128" s="397" t="s">
        <v>2143</v>
      </c>
      <c r="F128" s="397">
        <v>1.6</v>
      </c>
      <c r="G128" s="397">
        <v>1.8</v>
      </c>
      <c r="H128" s="397">
        <f>F128*G128</f>
        <v>2.8800000000000003</v>
      </c>
      <c r="I128" s="397">
        <v>31</v>
      </c>
      <c r="J128" s="397">
        <f>H128*I128</f>
        <v>89.280000000000015</v>
      </c>
      <c r="K128" s="397">
        <f>J128</f>
        <v>89.280000000000015</v>
      </c>
      <c r="L128" s="397">
        <f>J128</f>
        <v>89.280000000000015</v>
      </c>
      <c r="M128" s="397" t="s">
        <v>100</v>
      </c>
      <c r="N128" s="397" t="s">
        <v>100</v>
      </c>
      <c r="O128" s="397">
        <f>SUM(K128:L128)</f>
        <v>178.56000000000003</v>
      </c>
    </row>
    <row r="129" spans="1:15" ht="31.5">
      <c r="A129" s="814"/>
      <c r="B129" s="811"/>
      <c r="C129" s="811"/>
      <c r="D129" s="394" t="s">
        <v>2125</v>
      </c>
      <c r="E129" s="397" t="s">
        <v>2143</v>
      </c>
      <c r="F129" s="397">
        <v>1.6</v>
      </c>
      <c r="G129" s="397">
        <v>1.8</v>
      </c>
      <c r="H129" s="397">
        <f>F129*G129</f>
        <v>2.8800000000000003</v>
      </c>
      <c r="I129" s="399">
        <v>32</v>
      </c>
      <c r="J129" s="397">
        <f>H129*I129</f>
        <v>92.160000000000011</v>
      </c>
      <c r="K129" s="397">
        <f>J129</f>
        <v>92.160000000000011</v>
      </c>
      <c r="L129" s="397" t="s">
        <v>100</v>
      </c>
      <c r="M129" s="397">
        <f>J129</f>
        <v>92.160000000000011</v>
      </c>
      <c r="N129" s="397" t="s">
        <v>100</v>
      </c>
      <c r="O129" s="397">
        <f>SUM(K129:M129)</f>
        <v>184.32000000000002</v>
      </c>
    </row>
    <row r="130" spans="1:15" ht="15.75">
      <c r="A130" s="814"/>
      <c r="B130" s="811"/>
      <c r="C130" s="811"/>
      <c r="D130" s="394" t="s">
        <v>2126</v>
      </c>
      <c r="E130" s="397" t="s">
        <v>2142</v>
      </c>
      <c r="F130" s="397">
        <v>1.6</v>
      </c>
      <c r="G130" s="397">
        <v>0.9</v>
      </c>
      <c r="H130" s="397">
        <f>F130*G130</f>
        <v>1.4400000000000002</v>
      </c>
      <c r="I130" s="397">
        <v>5</v>
      </c>
      <c r="J130" s="397">
        <f>H130*I130</f>
        <v>7.2000000000000011</v>
      </c>
      <c r="K130" s="397">
        <f>J130</f>
        <v>7.2000000000000011</v>
      </c>
      <c r="L130" s="397">
        <f>J130</f>
        <v>7.2000000000000011</v>
      </c>
      <c r="M130" s="397" t="s">
        <v>100</v>
      </c>
      <c r="N130" s="397" t="s">
        <v>100</v>
      </c>
      <c r="O130" s="397">
        <f>SUM(K130:L130)</f>
        <v>14.400000000000002</v>
      </c>
    </row>
    <row r="131" spans="1:15" ht="31.5">
      <c r="A131" s="814"/>
      <c r="B131" s="811"/>
      <c r="C131" s="811"/>
      <c r="D131" s="394" t="s">
        <v>2125</v>
      </c>
      <c r="E131" s="397" t="s">
        <v>2142</v>
      </c>
      <c r="F131" s="397">
        <v>1.6</v>
      </c>
      <c r="G131" s="397">
        <v>0.9</v>
      </c>
      <c r="H131" s="397">
        <f>F131*G131</f>
        <v>1.4400000000000002</v>
      </c>
      <c r="I131" s="397">
        <v>5</v>
      </c>
      <c r="J131" s="397">
        <f>H131*I131</f>
        <v>7.2000000000000011</v>
      </c>
      <c r="K131" s="397">
        <f>J131</f>
        <v>7.2000000000000011</v>
      </c>
      <c r="L131" s="397" t="s">
        <v>100</v>
      </c>
      <c r="M131" s="397">
        <f>J131</f>
        <v>7.2000000000000011</v>
      </c>
      <c r="N131" s="397" t="s">
        <v>100</v>
      </c>
      <c r="O131" s="397">
        <f>SUM(K131:M131)</f>
        <v>14.400000000000002</v>
      </c>
    </row>
    <row r="132" spans="1:15" ht="15.75">
      <c r="A132" s="814"/>
      <c r="B132" s="811"/>
      <c r="C132" s="811"/>
      <c r="D132" s="813"/>
      <c r="E132" s="813"/>
      <c r="F132" s="813"/>
      <c r="G132" s="813"/>
      <c r="H132" s="813"/>
      <c r="I132" s="393" t="s">
        <v>2091</v>
      </c>
      <c r="J132" s="397">
        <f>SUM(J128:J131)</f>
        <v>195.84</v>
      </c>
      <c r="K132" s="813"/>
      <c r="L132" s="813"/>
      <c r="M132" s="813"/>
      <c r="N132" s="393" t="s">
        <v>2091</v>
      </c>
      <c r="O132" s="397">
        <f>SUM(O128:O131)</f>
        <v>391.68</v>
      </c>
    </row>
    <row r="133" spans="1:15" ht="15.75">
      <c r="A133" s="814"/>
      <c r="B133" s="811"/>
      <c r="C133" s="811"/>
      <c r="D133" s="811"/>
      <c r="E133" s="811"/>
      <c r="F133" s="811"/>
      <c r="G133" s="811"/>
      <c r="H133" s="811"/>
      <c r="I133" s="811"/>
      <c r="J133" s="811"/>
      <c r="K133" s="811"/>
      <c r="L133" s="811"/>
      <c r="M133" s="811"/>
      <c r="N133" s="811"/>
      <c r="O133" s="811"/>
    </row>
    <row r="134" spans="1:15" ht="78.75">
      <c r="A134" s="814"/>
      <c r="B134" s="811" t="s">
        <v>1483</v>
      </c>
      <c r="C134" s="811"/>
      <c r="D134" s="813"/>
      <c r="E134" s="393" t="s">
        <v>100</v>
      </c>
      <c r="F134" s="393" t="s">
        <v>2062</v>
      </c>
      <c r="G134" s="393" t="s">
        <v>2061</v>
      </c>
      <c r="H134" s="393" t="s">
        <v>2060</v>
      </c>
      <c r="I134" s="393" t="s">
        <v>2059</v>
      </c>
      <c r="J134" s="393" t="s">
        <v>2054</v>
      </c>
      <c r="K134" s="394" t="s">
        <v>2058</v>
      </c>
      <c r="L134" s="394" t="s">
        <v>2057</v>
      </c>
      <c r="M134" s="394" t="s">
        <v>2056</v>
      </c>
      <c r="N134" s="394" t="s">
        <v>2055</v>
      </c>
      <c r="O134" s="394" t="s">
        <v>2054</v>
      </c>
    </row>
    <row r="135" spans="1:15">
      <c r="A135" s="814"/>
      <c r="B135" s="811"/>
      <c r="C135" s="811"/>
      <c r="D135" s="813"/>
      <c r="E135" s="398" t="s">
        <v>1351</v>
      </c>
      <c r="F135" s="398">
        <v>4</v>
      </c>
      <c r="G135" s="398">
        <v>2.5</v>
      </c>
      <c r="H135" s="398">
        <f>F135*G135</f>
        <v>10</v>
      </c>
      <c r="I135" s="398">
        <v>16</v>
      </c>
      <c r="J135" s="398">
        <f>H135*I135</f>
        <v>160</v>
      </c>
      <c r="K135" s="398">
        <f>J135</f>
        <v>160</v>
      </c>
      <c r="L135" s="398">
        <f>J135</f>
        <v>160</v>
      </c>
      <c r="M135" s="398" t="s">
        <v>100</v>
      </c>
      <c r="N135" s="398" t="s">
        <v>100</v>
      </c>
      <c r="O135" s="398">
        <f>SUM(K135:L135)</f>
        <v>320</v>
      </c>
    </row>
    <row r="136" spans="1:15">
      <c r="A136" s="814"/>
      <c r="B136" s="811"/>
      <c r="C136" s="811"/>
      <c r="D136" s="813"/>
      <c r="E136" s="398" t="s">
        <v>1352</v>
      </c>
      <c r="F136" s="398">
        <v>4</v>
      </c>
      <c r="G136" s="398">
        <v>0.75</v>
      </c>
      <c r="H136" s="398">
        <f>F136*G136</f>
        <v>3</v>
      </c>
      <c r="I136" s="398">
        <v>1</v>
      </c>
      <c r="J136" s="398">
        <f>H136*I136</f>
        <v>3</v>
      </c>
      <c r="K136" s="398">
        <f>J136</f>
        <v>3</v>
      </c>
      <c r="L136" s="398">
        <f>J136</f>
        <v>3</v>
      </c>
      <c r="M136" s="398" t="s">
        <v>100</v>
      </c>
      <c r="N136" s="398" t="s">
        <v>100</v>
      </c>
      <c r="O136" s="398">
        <f>SUM(K136:L136)</f>
        <v>6</v>
      </c>
    </row>
    <row r="137" spans="1:15">
      <c r="A137" s="814"/>
      <c r="B137" s="811"/>
      <c r="C137" s="811"/>
      <c r="D137" s="813"/>
      <c r="E137" s="398" t="s">
        <v>1353</v>
      </c>
      <c r="F137" s="398">
        <v>1.6</v>
      </c>
      <c r="G137" s="398">
        <v>0.9</v>
      </c>
      <c r="H137" s="398">
        <f>F137*G137</f>
        <v>1.4400000000000002</v>
      </c>
      <c r="I137" s="398">
        <v>2</v>
      </c>
      <c r="J137" s="398">
        <f>H137*I137</f>
        <v>2.8800000000000003</v>
      </c>
      <c r="K137" s="398">
        <f>J137</f>
        <v>2.8800000000000003</v>
      </c>
      <c r="L137" s="398">
        <f>J137</f>
        <v>2.8800000000000003</v>
      </c>
      <c r="M137" s="398" t="s">
        <v>100</v>
      </c>
      <c r="N137" s="398" t="s">
        <v>100</v>
      </c>
      <c r="O137" s="398">
        <f>SUM(K137:L137)</f>
        <v>5.7600000000000007</v>
      </c>
    </row>
    <row r="138" spans="1:15" ht="15.75">
      <c r="A138" s="814"/>
      <c r="B138" s="811"/>
      <c r="C138" s="811"/>
      <c r="D138" s="813"/>
      <c r="E138" s="815"/>
      <c r="F138" s="815"/>
      <c r="G138" s="815"/>
      <c r="H138" s="815"/>
      <c r="I138" s="393" t="s">
        <v>2063</v>
      </c>
      <c r="J138" s="397">
        <f>SUM(J135:J137)</f>
        <v>165.88</v>
      </c>
      <c r="K138" s="813"/>
      <c r="L138" s="813"/>
      <c r="M138" s="813"/>
      <c r="N138" s="393" t="s">
        <v>2063</v>
      </c>
      <c r="O138" s="397">
        <f>SUM(O135:O137)</f>
        <v>331.76</v>
      </c>
    </row>
    <row r="139" spans="1:15" ht="18.75">
      <c r="A139" s="406"/>
      <c r="B139" s="400"/>
      <c r="C139" s="400"/>
      <c r="D139" s="390"/>
      <c r="E139" s="398"/>
      <c r="F139" s="398"/>
      <c r="G139" s="398"/>
      <c r="H139" s="398"/>
      <c r="I139" s="398"/>
      <c r="J139" s="398"/>
      <c r="K139" s="404"/>
      <c r="L139" s="404"/>
      <c r="M139" s="404"/>
      <c r="N139" s="404"/>
      <c r="O139" s="404"/>
    </row>
    <row r="140" spans="1:15" ht="78.75">
      <c r="A140" s="406"/>
      <c r="B140" s="400"/>
      <c r="C140" s="810" t="s">
        <v>2063</v>
      </c>
      <c r="D140" s="810"/>
      <c r="E140" s="396" t="s">
        <v>100</v>
      </c>
      <c r="F140" s="396" t="s">
        <v>2062</v>
      </c>
      <c r="G140" s="396" t="s">
        <v>2061</v>
      </c>
      <c r="H140" s="396" t="s">
        <v>2060</v>
      </c>
      <c r="I140" s="396" t="s">
        <v>2059</v>
      </c>
      <c r="J140" s="396" t="s">
        <v>2054</v>
      </c>
      <c r="K140" s="395" t="s">
        <v>2058</v>
      </c>
      <c r="L140" s="395" t="s">
        <v>2057</v>
      </c>
      <c r="M140" s="395" t="s">
        <v>2056</v>
      </c>
      <c r="N140" s="395" t="s">
        <v>2055</v>
      </c>
      <c r="O140" s="395" t="s">
        <v>2054</v>
      </c>
    </row>
    <row r="141" spans="1:15">
      <c r="C141" s="810"/>
      <c r="D141" s="810"/>
      <c r="E141" s="391"/>
      <c r="F141" s="391"/>
      <c r="G141" s="391"/>
      <c r="H141" s="391"/>
      <c r="I141" s="391">
        <f>SUM(I128:I131,I135:I137)</f>
        <v>92</v>
      </c>
      <c r="J141" s="391">
        <f>SUM(J132,J138)</f>
        <v>361.72</v>
      </c>
      <c r="K141" s="391">
        <f>SUM(K128:K131,K135:K137)</f>
        <v>361.72</v>
      </c>
      <c r="L141" s="391">
        <f>SUM(L128:L131,L135:L137)</f>
        <v>262.36</v>
      </c>
      <c r="M141" s="391">
        <f>SUM(M128:M131,M135:M137)</f>
        <v>99.360000000000014</v>
      </c>
      <c r="N141" s="391">
        <f>SUM(N128:N131,N135:N137)</f>
        <v>0</v>
      </c>
      <c r="O141" s="391">
        <f>SUM(O132,O138)</f>
        <v>723.44</v>
      </c>
    </row>
    <row r="146" spans="1:14" ht="18.75">
      <c r="A146" s="814" t="s">
        <v>2141</v>
      </c>
      <c r="B146" s="814"/>
      <c r="C146" s="814"/>
      <c r="D146" s="814"/>
      <c r="E146" s="814"/>
      <c r="F146" s="814"/>
      <c r="G146" s="814"/>
      <c r="H146" s="814"/>
      <c r="I146" s="814"/>
      <c r="J146" s="814"/>
      <c r="K146" s="814"/>
      <c r="L146" s="814"/>
      <c r="M146" s="814"/>
      <c r="N146" s="814"/>
    </row>
    <row r="147" spans="1:14" ht="78.75">
      <c r="A147" s="811" t="s">
        <v>2123</v>
      </c>
      <c r="B147" s="811" t="s">
        <v>1482</v>
      </c>
      <c r="C147" s="811" t="s">
        <v>2122</v>
      </c>
      <c r="D147" s="393" t="s">
        <v>100</v>
      </c>
      <c r="E147" s="393" t="s">
        <v>2062</v>
      </c>
      <c r="F147" s="393" t="s">
        <v>2061</v>
      </c>
      <c r="G147" s="393" t="s">
        <v>2060</v>
      </c>
      <c r="H147" s="393" t="s">
        <v>2059</v>
      </c>
      <c r="I147" s="393" t="s">
        <v>2054</v>
      </c>
      <c r="J147" s="394" t="s">
        <v>2058</v>
      </c>
      <c r="K147" s="394" t="s">
        <v>2057</v>
      </c>
      <c r="L147" s="394" t="s">
        <v>2056</v>
      </c>
      <c r="M147" s="394" t="s">
        <v>2055</v>
      </c>
      <c r="N147" s="394" t="s">
        <v>2054</v>
      </c>
    </row>
    <row r="148" spans="1:14" ht="15.75">
      <c r="A148" s="811"/>
      <c r="B148" s="811"/>
      <c r="C148" s="811"/>
      <c r="D148" s="402" t="s">
        <v>1351</v>
      </c>
      <c r="E148" s="402">
        <v>1.6</v>
      </c>
      <c r="F148" s="402">
        <v>1.8</v>
      </c>
      <c r="G148" s="402">
        <f>E148*F148</f>
        <v>2.8800000000000003</v>
      </c>
      <c r="H148" s="402">
        <v>41</v>
      </c>
      <c r="I148" s="402">
        <f>G148*H148</f>
        <v>118.08000000000001</v>
      </c>
      <c r="J148" s="402">
        <f>I148</f>
        <v>118.08000000000001</v>
      </c>
      <c r="K148" s="402"/>
      <c r="L148" s="402">
        <f>I148</f>
        <v>118.08000000000001</v>
      </c>
      <c r="M148" s="402" t="s">
        <v>100</v>
      </c>
      <c r="N148" s="402">
        <f>SUM(J148:J148:M148)</f>
        <v>236.16000000000003</v>
      </c>
    </row>
    <row r="149" spans="1:14" ht="15.75">
      <c r="A149" s="811"/>
      <c r="B149" s="811"/>
      <c r="C149" s="811"/>
      <c r="D149" s="402" t="s">
        <v>1353</v>
      </c>
      <c r="E149" s="402">
        <v>1.6</v>
      </c>
      <c r="F149" s="402">
        <v>0.9</v>
      </c>
      <c r="G149" s="402">
        <f>E149*F149</f>
        <v>1.4400000000000002</v>
      </c>
      <c r="H149" s="402">
        <v>4</v>
      </c>
      <c r="I149" s="402">
        <f>G149*H149</f>
        <v>5.7600000000000007</v>
      </c>
      <c r="J149" s="402">
        <f>I149</f>
        <v>5.7600000000000007</v>
      </c>
      <c r="K149" s="402">
        <f>I149</f>
        <v>5.7600000000000007</v>
      </c>
      <c r="L149" s="402" t="s">
        <v>100</v>
      </c>
      <c r="M149" s="402" t="s">
        <v>100</v>
      </c>
      <c r="N149" s="402">
        <f>SUM(J149:M149)</f>
        <v>11.520000000000001</v>
      </c>
    </row>
    <row r="150" spans="1:14" ht="15.75">
      <c r="A150" s="811"/>
      <c r="B150" s="811"/>
      <c r="C150" s="811"/>
      <c r="D150" s="405"/>
      <c r="E150" s="405"/>
      <c r="F150" s="405"/>
      <c r="G150" s="405"/>
      <c r="H150" s="405"/>
      <c r="I150" s="405"/>
      <c r="J150" s="405"/>
      <c r="K150" s="405"/>
      <c r="L150" s="405"/>
      <c r="M150" s="405"/>
      <c r="N150" s="405"/>
    </row>
    <row r="151" spans="1:14" ht="15.75">
      <c r="A151" s="811"/>
      <c r="B151" s="811"/>
      <c r="C151" s="811" t="s">
        <v>2121</v>
      </c>
      <c r="D151" s="402" t="s">
        <v>1351</v>
      </c>
      <c r="E151" s="402">
        <v>1.6</v>
      </c>
      <c r="F151" s="402">
        <v>1.8</v>
      </c>
      <c r="G151" s="402">
        <f>E151*F151</f>
        <v>2.8800000000000003</v>
      </c>
      <c r="H151" s="402">
        <v>40</v>
      </c>
      <c r="I151" s="402">
        <f>G151*H151</f>
        <v>115.20000000000002</v>
      </c>
      <c r="J151" s="402">
        <f>I151</f>
        <v>115.20000000000002</v>
      </c>
      <c r="K151" s="402">
        <f>I151</f>
        <v>115.20000000000002</v>
      </c>
      <c r="L151" s="402" t="s">
        <v>100</v>
      </c>
      <c r="M151" s="402" t="s">
        <v>100</v>
      </c>
      <c r="N151" s="402">
        <f>SUM(J151:M151)</f>
        <v>230.40000000000003</v>
      </c>
    </row>
    <row r="152" spans="1:14" ht="15.75">
      <c r="A152" s="811"/>
      <c r="B152" s="811"/>
      <c r="C152" s="811"/>
      <c r="D152" s="402" t="s">
        <v>1353</v>
      </c>
      <c r="E152" s="402">
        <v>1.6</v>
      </c>
      <c r="F152" s="402">
        <v>0.9</v>
      </c>
      <c r="G152" s="402">
        <f>E152*F152</f>
        <v>1.4400000000000002</v>
      </c>
      <c r="H152" s="402">
        <v>4</v>
      </c>
      <c r="I152" s="402">
        <f>G152*H152</f>
        <v>5.7600000000000007</v>
      </c>
      <c r="J152" s="402">
        <f>I152</f>
        <v>5.7600000000000007</v>
      </c>
      <c r="K152" s="402">
        <f>I152</f>
        <v>5.7600000000000007</v>
      </c>
      <c r="L152" s="402" t="s">
        <v>100</v>
      </c>
      <c r="M152" s="402" t="s">
        <v>100</v>
      </c>
      <c r="N152" s="402">
        <f>SUM(J152:M152)</f>
        <v>11.520000000000001</v>
      </c>
    </row>
    <row r="153" spans="1:14" ht="15.75">
      <c r="A153" s="811"/>
      <c r="B153" s="811"/>
      <c r="C153" s="811"/>
      <c r="D153" s="818"/>
      <c r="E153" s="818"/>
      <c r="F153" s="818"/>
      <c r="G153" s="818"/>
      <c r="H153" s="818"/>
      <c r="I153" s="818"/>
      <c r="J153" s="818"/>
      <c r="K153" s="818"/>
      <c r="L153" s="818"/>
      <c r="M153" s="818"/>
      <c r="N153" s="818"/>
    </row>
    <row r="154" spans="1:14" ht="15.75">
      <c r="A154" s="811"/>
      <c r="B154" s="811"/>
      <c r="C154" s="811"/>
      <c r="D154" s="818"/>
      <c r="E154" s="818"/>
      <c r="F154" s="818"/>
      <c r="G154" s="818"/>
      <c r="H154" s="393" t="s">
        <v>2063</v>
      </c>
      <c r="I154" s="402">
        <f>SUM(I148:I152)</f>
        <v>244.8</v>
      </c>
      <c r="J154" s="818"/>
      <c r="K154" s="818"/>
      <c r="L154" s="818"/>
      <c r="M154" s="393" t="s">
        <v>2063</v>
      </c>
      <c r="N154" s="402">
        <f>SUM(N148:N152)</f>
        <v>489.6</v>
      </c>
    </row>
    <row r="155" spans="1:14" ht="15.75">
      <c r="A155" s="811"/>
      <c r="B155" s="818"/>
      <c r="C155" s="818"/>
      <c r="D155" s="818"/>
      <c r="E155" s="818"/>
      <c r="F155" s="818"/>
      <c r="G155" s="818"/>
      <c r="H155" s="818"/>
      <c r="I155" s="818"/>
      <c r="J155" s="818"/>
      <c r="K155" s="818"/>
      <c r="L155" s="818"/>
      <c r="M155" s="818"/>
      <c r="N155" s="818"/>
    </row>
    <row r="156" spans="1:14" ht="78.75">
      <c r="A156" s="811"/>
      <c r="B156" s="811" t="s">
        <v>2119</v>
      </c>
      <c r="C156" s="811" t="s">
        <v>108</v>
      </c>
      <c r="D156" s="393" t="s">
        <v>100</v>
      </c>
      <c r="E156" s="393" t="s">
        <v>2062</v>
      </c>
      <c r="F156" s="393" t="s">
        <v>2061</v>
      </c>
      <c r="G156" s="393" t="s">
        <v>2060</v>
      </c>
      <c r="H156" s="393" t="s">
        <v>2059</v>
      </c>
      <c r="I156" s="393" t="s">
        <v>2054</v>
      </c>
      <c r="J156" s="394" t="s">
        <v>2058</v>
      </c>
      <c r="K156" s="394" t="s">
        <v>2057</v>
      </c>
      <c r="L156" s="394" t="s">
        <v>2056</v>
      </c>
      <c r="M156" s="394" t="s">
        <v>2055</v>
      </c>
      <c r="N156" s="394" t="s">
        <v>2054</v>
      </c>
    </row>
    <row r="157" spans="1:14" ht="15.75">
      <c r="A157" s="811"/>
      <c r="B157" s="811"/>
      <c r="C157" s="811"/>
      <c r="D157" s="402" t="s">
        <v>1352</v>
      </c>
      <c r="E157" s="402">
        <v>1.6</v>
      </c>
      <c r="F157" s="402">
        <v>1.6</v>
      </c>
      <c r="G157" s="402">
        <f>E157*F157</f>
        <v>2.5600000000000005</v>
      </c>
      <c r="H157" s="402">
        <v>12</v>
      </c>
      <c r="I157" s="402">
        <f>G157*H157</f>
        <v>30.720000000000006</v>
      </c>
      <c r="J157" s="402">
        <f>I157</f>
        <v>30.720000000000006</v>
      </c>
      <c r="K157" s="402">
        <f>I157</f>
        <v>30.720000000000006</v>
      </c>
      <c r="L157" s="402" t="s">
        <v>100</v>
      </c>
      <c r="M157" s="402" t="s">
        <v>100</v>
      </c>
      <c r="N157" s="402">
        <f>SUM(J157:M157)</f>
        <v>61.440000000000012</v>
      </c>
    </row>
    <row r="158" spans="1:14" ht="15.75">
      <c r="A158" s="811"/>
      <c r="B158" s="811"/>
      <c r="C158" s="811"/>
      <c r="D158" s="402" t="s">
        <v>1353</v>
      </c>
      <c r="E158" s="402">
        <v>1.6</v>
      </c>
      <c r="F158" s="402">
        <v>0.9</v>
      </c>
      <c r="G158" s="402">
        <f>E158*F158</f>
        <v>1.4400000000000002</v>
      </c>
      <c r="H158" s="402">
        <v>3</v>
      </c>
      <c r="I158" s="402">
        <f>G158*H158</f>
        <v>4.32</v>
      </c>
      <c r="J158" s="402">
        <f>I158</f>
        <v>4.32</v>
      </c>
      <c r="K158" s="402">
        <f>I158</f>
        <v>4.32</v>
      </c>
      <c r="L158" s="402" t="s">
        <v>100</v>
      </c>
      <c r="M158" s="402" t="s">
        <v>100</v>
      </c>
      <c r="N158" s="402">
        <f>SUM(J158:M158)</f>
        <v>8.64</v>
      </c>
    </row>
    <row r="159" spans="1:14" ht="15.75">
      <c r="A159" s="811"/>
      <c r="B159" s="811"/>
      <c r="C159" s="811"/>
      <c r="D159" s="402" t="s">
        <v>1354</v>
      </c>
      <c r="E159" s="402">
        <v>0.6</v>
      </c>
      <c r="F159" s="402">
        <v>0.9</v>
      </c>
      <c r="G159" s="402">
        <f>E159*F159</f>
        <v>0.54</v>
      </c>
      <c r="H159" s="402">
        <v>4</v>
      </c>
      <c r="I159" s="402">
        <f>G159*H159</f>
        <v>2.16</v>
      </c>
      <c r="J159" s="402">
        <f>I159</f>
        <v>2.16</v>
      </c>
      <c r="K159" s="402">
        <f>I159</f>
        <v>2.16</v>
      </c>
      <c r="L159" s="402" t="s">
        <v>100</v>
      </c>
      <c r="M159" s="402" t="s">
        <v>100</v>
      </c>
      <c r="N159" s="402">
        <f>SUM(J159:M159)</f>
        <v>4.32</v>
      </c>
    </row>
    <row r="160" spans="1:14" ht="15.75">
      <c r="A160" s="811"/>
      <c r="B160" s="811"/>
      <c r="C160" s="811"/>
      <c r="D160" s="818"/>
      <c r="E160" s="818"/>
      <c r="F160" s="818"/>
      <c r="G160" s="818"/>
      <c r="H160" s="818"/>
      <c r="I160" s="818"/>
      <c r="J160" s="818"/>
      <c r="K160" s="818"/>
      <c r="L160" s="818"/>
      <c r="M160" s="818"/>
      <c r="N160" s="818"/>
    </row>
    <row r="161" spans="1:15" ht="15.75">
      <c r="A161" s="811"/>
      <c r="B161" s="811"/>
      <c r="C161" s="811"/>
      <c r="D161" s="818"/>
      <c r="E161" s="818"/>
      <c r="F161" s="818"/>
      <c r="G161" s="818"/>
      <c r="H161" s="393" t="s">
        <v>2063</v>
      </c>
      <c r="I161" s="402">
        <f>SUM(I157:I159)</f>
        <v>37.200000000000003</v>
      </c>
      <c r="J161" s="818"/>
      <c r="K161" s="818"/>
      <c r="L161" s="818"/>
      <c r="M161" s="393" t="s">
        <v>2063</v>
      </c>
      <c r="N161" s="402">
        <f>SUM(N157:N159)</f>
        <v>74.400000000000006</v>
      </c>
    </row>
    <row r="162" spans="1:15">
      <c r="A162" s="10"/>
      <c r="B162" s="10"/>
      <c r="C162" s="10"/>
      <c r="D162" s="10"/>
      <c r="E162" s="10"/>
      <c r="F162" s="10"/>
      <c r="G162" s="10"/>
      <c r="H162" s="10"/>
      <c r="I162" s="10"/>
      <c r="J162" s="10"/>
      <c r="K162" s="10"/>
      <c r="L162" s="10"/>
      <c r="M162" s="10"/>
      <c r="N162" s="10"/>
    </row>
    <row r="163" spans="1:15" ht="78.75">
      <c r="B163" s="810" t="s">
        <v>2063</v>
      </c>
      <c r="C163" s="810"/>
      <c r="D163" s="396" t="s">
        <v>100</v>
      </c>
      <c r="E163" s="396" t="s">
        <v>2062</v>
      </c>
      <c r="F163" s="396" t="s">
        <v>2061</v>
      </c>
      <c r="G163" s="396" t="s">
        <v>2060</v>
      </c>
      <c r="H163" s="396" t="s">
        <v>2059</v>
      </c>
      <c r="I163" s="396" t="s">
        <v>2054</v>
      </c>
      <c r="J163" s="395" t="s">
        <v>2058</v>
      </c>
      <c r="K163" s="395" t="s">
        <v>2057</v>
      </c>
      <c r="L163" s="395" t="s">
        <v>2056</v>
      </c>
      <c r="M163" s="395" t="s">
        <v>2055</v>
      </c>
      <c r="N163" s="395" t="s">
        <v>2054</v>
      </c>
    </row>
    <row r="164" spans="1:15">
      <c r="B164" s="810"/>
      <c r="C164" s="810"/>
      <c r="D164" s="392"/>
      <c r="E164" s="391"/>
      <c r="F164" s="391"/>
      <c r="G164" s="391"/>
      <c r="H164" s="391">
        <f>SUM(H148:H152,H157:H159)</f>
        <v>108</v>
      </c>
      <c r="I164" s="391">
        <f>SUM(I154,I161)</f>
        <v>282</v>
      </c>
      <c r="J164" s="391">
        <f>SUM(J148:J152,J157:J159)</f>
        <v>282.00000000000006</v>
      </c>
      <c r="K164" s="391">
        <f>SUM(K148:K152,K157:K159)</f>
        <v>163.92000000000002</v>
      </c>
      <c r="L164" s="391">
        <f>SUM(L148:L152,L157:L159)</f>
        <v>118.08000000000001</v>
      </c>
      <c r="M164" s="391">
        <f>SUM(M148:M152,M157:M159)</f>
        <v>0</v>
      </c>
      <c r="N164" s="391">
        <f>SUM(N154,N161)</f>
        <v>564</v>
      </c>
    </row>
    <row r="169" spans="1:15" ht="18.75">
      <c r="A169" s="814" t="s">
        <v>2140</v>
      </c>
      <c r="B169" s="814"/>
      <c r="C169" s="814"/>
      <c r="D169" s="814"/>
      <c r="E169" s="814"/>
      <c r="F169" s="814"/>
      <c r="G169" s="814"/>
      <c r="H169" s="814"/>
      <c r="I169" s="814"/>
      <c r="J169" s="814"/>
      <c r="K169" s="814"/>
      <c r="L169" s="814"/>
      <c r="M169" s="814"/>
      <c r="N169" s="814"/>
      <c r="O169" s="814"/>
    </row>
    <row r="170" spans="1:15" ht="78.75">
      <c r="A170" s="811" t="s">
        <v>2115</v>
      </c>
      <c r="B170" s="811" t="s">
        <v>2114</v>
      </c>
      <c r="C170" s="811"/>
      <c r="D170" s="811" t="s">
        <v>394</v>
      </c>
      <c r="E170" s="393" t="s">
        <v>100</v>
      </c>
      <c r="F170" s="393" t="s">
        <v>2062</v>
      </c>
      <c r="G170" s="393" t="s">
        <v>2061</v>
      </c>
      <c r="H170" s="393" t="s">
        <v>2060</v>
      </c>
      <c r="I170" s="393" t="s">
        <v>2059</v>
      </c>
      <c r="J170" s="393" t="s">
        <v>2054</v>
      </c>
      <c r="K170" s="394" t="s">
        <v>2058</v>
      </c>
      <c r="L170" s="394" t="s">
        <v>2057</v>
      </c>
      <c r="M170" s="394" t="s">
        <v>2056</v>
      </c>
      <c r="N170" s="394" t="s">
        <v>2055</v>
      </c>
      <c r="O170" s="394" t="s">
        <v>2054</v>
      </c>
    </row>
    <row r="171" spans="1:15">
      <c r="A171" s="811"/>
      <c r="B171" s="811"/>
      <c r="C171" s="811"/>
      <c r="D171" s="811"/>
      <c r="E171" s="397" t="s">
        <v>1351</v>
      </c>
      <c r="F171" s="397">
        <v>1.5</v>
      </c>
      <c r="G171" s="397">
        <v>0.6</v>
      </c>
      <c r="H171" s="397">
        <f>F171*G171</f>
        <v>0.89999999999999991</v>
      </c>
      <c r="I171" s="397">
        <v>3</v>
      </c>
      <c r="J171" s="397">
        <f>H171*I171</f>
        <v>2.6999999999999997</v>
      </c>
      <c r="K171" s="397">
        <f>J171</f>
        <v>2.6999999999999997</v>
      </c>
      <c r="L171" s="397">
        <f>J171</f>
        <v>2.6999999999999997</v>
      </c>
      <c r="M171" s="397" t="s">
        <v>100</v>
      </c>
      <c r="N171" s="397" t="s">
        <v>100</v>
      </c>
      <c r="O171" s="397">
        <f>SUM(K171:N171)</f>
        <v>5.3999999999999995</v>
      </c>
    </row>
    <row r="172" spans="1:15">
      <c r="A172" s="811"/>
      <c r="B172" s="811"/>
      <c r="C172" s="811"/>
      <c r="D172" s="811"/>
      <c r="E172" s="397" t="s">
        <v>1352</v>
      </c>
      <c r="F172" s="397">
        <v>1.5</v>
      </c>
      <c r="G172" s="397">
        <v>0.6</v>
      </c>
      <c r="H172" s="397">
        <f>F172*G172</f>
        <v>0.89999999999999991</v>
      </c>
      <c r="I172" s="397">
        <v>6</v>
      </c>
      <c r="J172" s="397">
        <f>H172*I172</f>
        <v>5.3999999999999995</v>
      </c>
      <c r="K172" s="397">
        <f>J172</f>
        <v>5.3999999999999995</v>
      </c>
      <c r="L172" s="397">
        <f>J172</f>
        <v>5.3999999999999995</v>
      </c>
      <c r="M172" s="397" t="s">
        <v>100</v>
      </c>
      <c r="N172" s="397" t="s">
        <v>100</v>
      </c>
      <c r="O172" s="397">
        <f>SUM(K172:N172)</f>
        <v>10.799999999999999</v>
      </c>
    </row>
    <row r="173" spans="1:15">
      <c r="A173" s="811"/>
      <c r="B173" s="811"/>
      <c r="C173" s="811"/>
      <c r="D173" s="811"/>
      <c r="E173" s="397" t="s">
        <v>2133</v>
      </c>
      <c r="F173" s="397">
        <v>1</v>
      </c>
      <c r="G173" s="397">
        <v>0.6</v>
      </c>
      <c r="H173" s="397">
        <f>F173*G173</f>
        <v>0.6</v>
      </c>
      <c r="I173" s="397">
        <v>1</v>
      </c>
      <c r="J173" s="397">
        <f>H173*I173</f>
        <v>0.6</v>
      </c>
      <c r="K173" s="397">
        <f>J173</f>
        <v>0.6</v>
      </c>
      <c r="L173" s="397">
        <f>J173</f>
        <v>0.6</v>
      </c>
      <c r="M173" s="397" t="s">
        <v>100</v>
      </c>
      <c r="N173" s="397" t="s">
        <v>100</v>
      </c>
      <c r="O173" s="397">
        <f>SUM(K173:N173)</f>
        <v>1.2</v>
      </c>
    </row>
    <row r="174" spans="1:15" ht="15.75">
      <c r="A174" s="811"/>
      <c r="B174" s="811"/>
      <c r="C174" s="811"/>
      <c r="D174" s="811"/>
      <c r="E174" s="811"/>
      <c r="F174" s="811"/>
      <c r="G174" s="811"/>
      <c r="H174" s="811"/>
      <c r="I174" s="811"/>
      <c r="J174" s="811"/>
      <c r="K174" s="811"/>
      <c r="L174" s="811"/>
      <c r="M174" s="811"/>
      <c r="N174" s="811"/>
      <c r="O174" s="811"/>
    </row>
    <row r="175" spans="1:15" ht="15.75">
      <c r="A175" s="811"/>
      <c r="B175" s="811"/>
      <c r="C175" s="811"/>
      <c r="D175" s="811"/>
      <c r="E175" s="811"/>
      <c r="F175" s="811"/>
      <c r="G175" s="811"/>
      <c r="H175" s="811"/>
      <c r="I175" s="393" t="s">
        <v>2063</v>
      </c>
      <c r="J175" s="397">
        <f>SUM(J171:J173)</f>
        <v>8.6999999999999993</v>
      </c>
      <c r="K175" s="815"/>
      <c r="L175" s="815"/>
      <c r="M175" s="815"/>
      <c r="N175" s="393" t="s">
        <v>2063</v>
      </c>
      <c r="O175" s="397">
        <f>SUM(O171:O173)</f>
        <v>17.399999999999999</v>
      </c>
    </row>
    <row r="176" spans="1:15" ht="15.75">
      <c r="A176" s="811"/>
      <c r="B176" s="811"/>
      <c r="C176" s="811"/>
      <c r="D176" s="811"/>
      <c r="E176" s="811"/>
      <c r="F176" s="811"/>
      <c r="G176" s="811"/>
      <c r="H176" s="811"/>
      <c r="I176" s="811"/>
      <c r="J176" s="811"/>
      <c r="K176" s="811"/>
      <c r="L176" s="811"/>
      <c r="M176" s="811"/>
      <c r="N176" s="811"/>
      <c r="O176" s="811"/>
    </row>
    <row r="177" spans="1:15" ht="78.75">
      <c r="A177" s="811"/>
      <c r="B177" s="811" t="s">
        <v>2114</v>
      </c>
      <c r="C177" s="811"/>
      <c r="D177" s="811" t="s">
        <v>219</v>
      </c>
      <c r="E177" s="393" t="s">
        <v>100</v>
      </c>
      <c r="F177" s="393" t="s">
        <v>2062</v>
      </c>
      <c r="G177" s="393" t="s">
        <v>2061</v>
      </c>
      <c r="H177" s="393" t="s">
        <v>2060</v>
      </c>
      <c r="I177" s="393" t="s">
        <v>2059</v>
      </c>
      <c r="J177" s="393" t="s">
        <v>2054</v>
      </c>
      <c r="K177" s="394" t="s">
        <v>2058</v>
      </c>
      <c r="L177" s="394" t="s">
        <v>2057</v>
      </c>
      <c r="M177" s="394" t="s">
        <v>2056</v>
      </c>
      <c r="N177" s="394" t="s">
        <v>2055</v>
      </c>
      <c r="O177" s="394" t="s">
        <v>2054</v>
      </c>
    </row>
    <row r="178" spans="1:15">
      <c r="A178" s="811"/>
      <c r="B178" s="811"/>
      <c r="C178" s="811"/>
      <c r="D178" s="811"/>
      <c r="E178" s="397" t="s">
        <v>1351</v>
      </c>
      <c r="F178" s="397">
        <v>1.5</v>
      </c>
      <c r="G178" s="397">
        <v>0.6</v>
      </c>
      <c r="H178" s="397">
        <f t="shared" ref="H178:H183" si="7">F178*G178</f>
        <v>0.89999999999999991</v>
      </c>
      <c r="I178" s="397">
        <v>3</v>
      </c>
      <c r="J178" s="397">
        <f t="shared" ref="J178:J183" si="8">H178*I178</f>
        <v>2.6999999999999997</v>
      </c>
      <c r="K178" s="397">
        <f t="shared" ref="K178:K183" si="9">J178</f>
        <v>2.6999999999999997</v>
      </c>
      <c r="L178" s="397">
        <f t="shared" ref="L178:L183" si="10">J178</f>
        <v>2.6999999999999997</v>
      </c>
      <c r="M178" s="397" t="s">
        <v>100</v>
      </c>
      <c r="N178" s="397" t="s">
        <v>100</v>
      </c>
      <c r="O178" s="397">
        <f>SUM(K178:K178:N178)</f>
        <v>5.3999999999999995</v>
      </c>
    </row>
    <row r="179" spans="1:15">
      <c r="A179" s="811"/>
      <c r="B179" s="811"/>
      <c r="C179" s="811"/>
      <c r="D179" s="811"/>
      <c r="E179" s="397" t="s">
        <v>1352</v>
      </c>
      <c r="F179" s="397">
        <v>1.5</v>
      </c>
      <c r="G179" s="397">
        <v>0.6</v>
      </c>
      <c r="H179" s="397">
        <f t="shared" si="7"/>
        <v>0.89999999999999991</v>
      </c>
      <c r="I179" s="397">
        <v>6</v>
      </c>
      <c r="J179" s="397">
        <f t="shared" si="8"/>
        <v>5.3999999999999995</v>
      </c>
      <c r="K179" s="397">
        <f t="shared" si="9"/>
        <v>5.3999999999999995</v>
      </c>
      <c r="L179" s="397">
        <f t="shared" si="10"/>
        <v>5.3999999999999995</v>
      </c>
      <c r="M179" s="397" t="s">
        <v>100</v>
      </c>
      <c r="N179" s="397" t="s">
        <v>100</v>
      </c>
      <c r="O179" s="397">
        <f>SUM(K179:N179)</f>
        <v>10.799999999999999</v>
      </c>
    </row>
    <row r="180" spans="1:15">
      <c r="A180" s="811"/>
      <c r="B180" s="811"/>
      <c r="C180" s="811"/>
      <c r="D180" s="811"/>
      <c r="E180" s="397" t="s">
        <v>1353</v>
      </c>
      <c r="F180" s="397">
        <v>1.34</v>
      </c>
      <c r="G180" s="397">
        <v>1.34</v>
      </c>
      <c r="H180" s="397">
        <f t="shared" si="7"/>
        <v>1.7956000000000003</v>
      </c>
      <c r="I180" s="397">
        <v>26</v>
      </c>
      <c r="J180" s="397">
        <f t="shared" si="8"/>
        <v>46.685600000000008</v>
      </c>
      <c r="K180" s="397">
        <f t="shared" si="9"/>
        <v>46.685600000000008</v>
      </c>
      <c r="L180" s="397">
        <f t="shared" si="10"/>
        <v>46.685600000000008</v>
      </c>
      <c r="M180" s="397" t="s">
        <v>100</v>
      </c>
      <c r="N180" s="397" t="s">
        <v>100</v>
      </c>
      <c r="O180" s="397">
        <f>SUM(K180:N180)</f>
        <v>93.371200000000016</v>
      </c>
    </row>
    <row r="181" spans="1:15">
      <c r="A181" s="811"/>
      <c r="B181" s="811"/>
      <c r="C181" s="811"/>
      <c r="D181" s="811"/>
      <c r="E181" s="397" t="s">
        <v>1354</v>
      </c>
      <c r="F181" s="397">
        <v>0.8</v>
      </c>
      <c r="G181" s="397">
        <v>0.8</v>
      </c>
      <c r="H181" s="397">
        <f t="shared" si="7"/>
        <v>0.64000000000000012</v>
      </c>
      <c r="I181" s="397">
        <v>3</v>
      </c>
      <c r="J181" s="397">
        <f t="shared" si="8"/>
        <v>1.9200000000000004</v>
      </c>
      <c r="K181" s="397">
        <f t="shared" si="9"/>
        <v>1.9200000000000004</v>
      </c>
      <c r="L181" s="397">
        <f t="shared" si="10"/>
        <v>1.9200000000000004</v>
      </c>
      <c r="M181" s="397" t="s">
        <v>100</v>
      </c>
      <c r="N181" s="397" t="s">
        <v>100</v>
      </c>
      <c r="O181" s="397">
        <f>SUM(K181:N181)</f>
        <v>3.8400000000000007</v>
      </c>
    </row>
    <row r="182" spans="1:15">
      <c r="A182" s="811"/>
      <c r="B182" s="811"/>
      <c r="C182" s="811"/>
      <c r="D182" s="811"/>
      <c r="E182" s="397" t="s">
        <v>2134</v>
      </c>
      <c r="F182" s="397">
        <v>1.5</v>
      </c>
      <c r="G182" s="397">
        <v>0.6</v>
      </c>
      <c r="H182" s="397">
        <f t="shared" si="7"/>
        <v>0.89999999999999991</v>
      </c>
      <c r="I182" s="397">
        <v>1</v>
      </c>
      <c r="J182" s="397">
        <f t="shared" si="8"/>
        <v>0.89999999999999991</v>
      </c>
      <c r="K182" s="397">
        <f t="shared" si="9"/>
        <v>0.89999999999999991</v>
      </c>
      <c r="L182" s="397">
        <f t="shared" si="10"/>
        <v>0.89999999999999991</v>
      </c>
      <c r="M182" s="397" t="s">
        <v>100</v>
      </c>
      <c r="N182" s="397" t="s">
        <v>100</v>
      </c>
      <c r="O182" s="397">
        <f>SUM(K182:N182)</f>
        <v>1.7999999999999998</v>
      </c>
    </row>
    <row r="183" spans="1:15">
      <c r="A183" s="811"/>
      <c r="B183" s="811"/>
      <c r="C183" s="811"/>
      <c r="D183" s="811"/>
      <c r="E183" s="397" t="s">
        <v>2133</v>
      </c>
      <c r="F183" s="397">
        <v>1</v>
      </c>
      <c r="G183" s="397">
        <v>0.6</v>
      </c>
      <c r="H183" s="397">
        <f t="shared" si="7"/>
        <v>0.6</v>
      </c>
      <c r="I183" s="397">
        <v>1</v>
      </c>
      <c r="J183" s="397">
        <f t="shared" si="8"/>
        <v>0.6</v>
      </c>
      <c r="K183" s="397">
        <f t="shared" si="9"/>
        <v>0.6</v>
      </c>
      <c r="L183" s="397">
        <f t="shared" si="10"/>
        <v>0.6</v>
      </c>
      <c r="M183" s="397" t="s">
        <v>100</v>
      </c>
      <c r="N183" s="397" t="s">
        <v>100</v>
      </c>
      <c r="O183" s="397">
        <f>SUM(K183:N183)</f>
        <v>1.2</v>
      </c>
    </row>
    <row r="184" spans="1:15" ht="15.75">
      <c r="A184" s="811"/>
      <c r="B184" s="811"/>
      <c r="C184" s="811"/>
      <c r="D184" s="811"/>
      <c r="E184" s="811"/>
      <c r="F184" s="811"/>
      <c r="G184" s="811"/>
      <c r="H184" s="811"/>
      <c r="I184" s="811"/>
      <c r="J184" s="811"/>
      <c r="K184" s="811"/>
      <c r="L184" s="811"/>
      <c r="M184" s="811"/>
      <c r="N184" s="811"/>
      <c r="O184" s="811"/>
    </row>
    <row r="185" spans="1:15" ht="15.75">
      <c r="A185" s="811"/>
      <c r="B185" s="811"/>
      <c r="C185" s="811"/>
      <c r="D185" s="811"/>
      <c r="E185" s="811"/>
      <c r="F185" s="811"/>
      <c r="G185" s="811"/>
      <c r="H185" s="811"/>
      <c r="I185" s="393" t="s">
        <v>2063</v>
      </c>
      <c r="J185" s="397">
        <f>SUM(J178:J183)</f>
        <v>58.205600000000011</v>
      </c>
      <c r="K185" s="815"/>
      <c r="L185" s="815"/>
      <c r="M185" s="815"/>
      <c r="N185" s="393" t="s">
        <v>2063</v>
      </c>
      <c r="O185" s="397">
        <f>SUM(O178:O183)</f>
        <v>116.41120000000002</v>
      </c>
    </row>
    <row r="186" spans="1:15" ht="15.75">
      <c r="A186" s="811"/>
      <c r="B186" s="811"/>
      <c r="C186" s="811"/>
      <c r="D186" s="811"/>
      <c r="E186" s="811"/>
      <c r="F186" s="811"/>
      <c r="G186" s="811"/>
      <c r="H186" s="811"/>
      <c r="I186" s="811"/>
      <c r="J186" s="811"/>
      <c r="K186" s="811"/>
      <c r="L186" s="811"/>
      <c r="M186" s="811"/>
      <c r="N186" s="811"/>
      <c r="O186" s="811"/>
    </row>
    <row r="187" spans="1:15" ht="78.75">
      <c r="A187" s="811"/>
      <c r="B187" s="811" t="s">
        <v>2114</v>
      </c>
      <c r="C187" s="811"/>
      <c r="D187" s="811" t="s">
        <v>2088</v>
      </c>
      <c r="E187" s="393" t="s">
        <v>100</v>
      </c>
      <c r="F187" s="393" t="s">
        <v>2062</v>
      </c>
      <c r="G187" s="393" t="s">
        <v>2061</v>
      </c>
      <c r="H187" s="393" t="s">
        <v>2060</v>
      </c>
      <c r="I187" s="393" t="s">
        <v>2059</v>
      </c>
      <c r="J187" s="393" t="s">
        <v>2054</v>
      </c>
      <c r="K187" s="394" t="s">
        <v>2058</v>
      </c>
      <c r="L187" s="394" t="s">
        <v>2057</v>
      </c>
      <c r="M187" s="394" t="s">
        <v>2056</v>
      </c>
      <c r="N187" s="394" t="s">
        <v>2055</v>
      </c>
      <c r="O187" s="394" t="s">
        <v>2054</v>
      </c>
    </row>
    <row r="188" spans="1:15">
      <c r="A188" s="811"/>
      <c r="B188" s="811"/>
      <c r="C188" s="811"/>
      <c r="D188" s="811"/>
      <c r="E188" s="397" t="s">
        <v>1351</v>
      </c>
      <c r="F188" s="397">
        <v>1.5</v>
      </c>
      <c r="G188" s="397">
        <v>0.6</v>
      </c>
      <c r="H188" s="397">
        <f>F188*G188</f>
        <v>0.89999999999999991</v>
      </c>
      <c r="I188" s="397">
        <v>3</v>
      </c>
      <c r="J188" s="397">
        <f>H188*I188</f>
        <v>2.6999999999999997</v>
      </c>
      <c r="K188" s="397">
        <f>J188</f>
        <v>2.6999999999999997</v>
      </c>
      <c r="L188" s="397" t="s">
        <v>100</v>
      </c>
      <c r="M188" s="397">
        <f>J188</f>
        <v>2.6999999999999997</v>
      </c>
      <c r="N188" s="397" t="s">
        <v>100</v>
      </c>
      <c r="O188" s="397">
        <f>SUM(K188:N188)</f>
        <v>5.3999999999999995</v>
      </c>
    </row>
    <row r="189" spans="1:15">
      <c r="A189" s="811"/>
      <c r="B189" s="811"/>
      <c r="C189" s="811"/>
      <c r="D189" s="811"/>
      <c r="E189" s="397" t="s">
        <v>1352</v>
      </c>
      <c r="F189" s="397">
        <v>1.5</v>
      </c>
      <c r="G189" s="397">
        <v>0.6</v>
      </c>
      <c r="H189" s="397">
        <f>F189*G189</f>
        <v>0.89999999999999991</v>
      </c>
      <c r="I189" s="397">
        <v>3</v>
      </c>
      <c r="J189" s="397">
        <f>H189*I189</f>
        <v>2.6999999999999997</v>
      </c>
      <c r="K189" s="397">
        <f>J189</f>
        <v>2.6999999999999997</v>
      </c>
      <c r="L189" s="397" t="s">
        <v>100</v>
      </c>
      <c r="M189" s="397">
        <f>J189</f>
        <v>2.6999999999999997</v>
      </c>
      <c r="N189" s="397" t="s">
        <v>100</v>
      </c>
      <c r="O189" s="397">
        <f>SUM(K189:N189)</f>
        <v>5.3999999999999995</v>
      </c>
    </row>
    <row r="190" spans="1:15">
      <c r="A190" s="811"/>
      <c r="B190" s="811"/>
      <c r="C190" s="811"/>
      <c r="D190" s="811"/>
      <c r="E190" s="397" t="s">
        <v>1353</v>
      </c>
      <c r="F190" s="397">
        <v>1.34</v>
      </c>
      <c r="G190" s="397">
        <v>1.34</v>
      </c>
      <c r="H190" s="397">
        <f>F190*G190</f>
        <v>1.7956000000000003</v>
      </c>
      <c r="I190" s="397">
        <v>28</v>
      </c>
      <c r="J190" s="397">
        <f>H190*I190</f>
        <v>50.276800000000009</v>
      </c>
      <c r="K190" s="397">
        <f>J190</f>
        <v>50.276800000000009</v>
      </c>
      <c r="L190" s="397" t="s">
        <v>100</v>
      </c>
      <c r="M190" s="397">
        <f>J190</f>
        <v>50.276800000000009</v>
      </c>
      <c r="N190" s="397" t="s">
        <v>100</v>
      </c>
      <c r="O190" s="397">
        <f>SUM(K190:N190)</f>
        <v>100.55360000000002</v>
      </c>
    </row>
    <row r="191" spans="1:15" ht="15.75">
      <c r="A191" s="811"/>
      <c r="B191" s="811"/>
      <c r="C191" s="811"/>
      <c r="D191" s="811"/>
      <c r="E191" s="811"/>
      <c r="F191" s="811"/>
      <c r="G191" s="811"/>
      <c r="H191" s="811"/>
      <c r="I191" s="811"/>
      <c r="J191" s="811"/>
      <c r="K191" s="811"/>
      <c r="L191" s="811"/>
      <c r="M191" s="811"/>
      <c r="N191" s="811"/>
      <c r="O191" s="811"/>
    </row>
    <row r="192" spans="1:15" ht="15.75">
      <c r="A192" s="811"/>
      <c r="B192" s="811"/>
      <c r="C192" s="811"/>
      <c r="D192" s="811"/>
      <c r="E192" s="811"/>
      <c r="F192" s="811"/>
      <c r="G192" s="811"/>
      <c r="H192" s="811"/>
      <c r="I192" s="393" t="s">
        <v>2063</v>
      </c>
      <c r="J192" s="397">
        <f>SUM(J188:J190)</f>
        <v>55.676800000000007</v>
      </c>
      <c r="K192" s="815"/>
      <c r="L192" s="815"/>
      <c r="M192" s="815"/>
      <c r="N192" s="393" t="s">
        <v>2063</v>
      </c>
      <c r="O192" s="397">
        <f>SUM(O188:O190)</f>
        <v>111.35360000000001</v>
      </c>
    </row>
    <row r="193" spans="1:15" ht="15.75">
      <c r="A193" s="811"/>
      <c r="B193" s="811"/>
      <c r="C193" s="811"/>
      <c r="D193" s="811"/>
      <c r="E193" s="811"/>
      <c r="F193" s="811"/>
      <c r="G193" s="811"/>
      <c r="H193" s="811"/>
      <c r="I193" s="811"/>
      <c r="J193" s="811"/>
      <c r="K193" s="811"/>
      <c r="L193" s="811"/>
      <c r="M193" s="811"/>
      <c r="N193" s="811"/>
      <c r="O193" s="811"/>
    </row>
    <row r="194" spans="1:15" ht="78.75">
      <c r="A194" s="811"/>
      <c r="B194" s="811" t="s">
        <v>2114</v>
      </c>
      <c r="C194" s="811"/>
      <c r="D194" s="811" t="s">
        <v>2087</v>
      </c>
      <c r="E194" s="393" t="s">
        <v>100</v>
      </c>
      <c r="F194" s="393" t="s">
        <v>2062</v>
      </c>
      <c r="G194" s="393" t="s">
        <v>2061</v>
      </c>
      <c r="H194" s="393" t="s">
        <v>2060</v>
      </c>
      <c r="I194" s="393" t="s">
        <v>2059</v>
      </c>
      <c r="J194" s="393" t="s">
        <v>2054</v>
      </c>
      <c r="K194" s="394" t="s">
        <v>2058</v>
      </c>
      <c r="L194" s="394" t="s">
        <v>2057</v>
      </c>
      <c r="M194" s="394" t="s">
        <v>2056</v>
      </c>
      <c r="N194" s="394" t="s">
        <v>2055</v>
      </c>
      <c r="O194" s="394" t="s">
        <v>2054</v>
      </c>
    </row>
    <row r="195" spans="1:15">
      <c r="A195" s="811"/>
      <c r="B195" s="811"/>
      <c r="C195" s="811"/>
      <c r="D195" s="811"/>
      <c r="E195" s="397" t="s">
        <v>1351</v>
      </c>
      <c r="F195" s="397">
        <v>1.5</v>
      </c>
      <c r="G195" s="397">
        <v>0.6</v>
      </c>
      <c r="H195" s="397">
        <f>F195*G195</f>
        <v>0.89999999999999991</v>
      </c>
      <c r="I195" s="397">
        <v>3</v>
      </c>
      <c r="J195" s="397">
        <f>H195*I195</f>
        <v>2.6999999999999997</v>
      </c>
      <c r="K195" s="397">
        <f>J195</f>
        <v>2.6999999999999997</v>
      </c>
      <c r="L195" s="397" t="s">
        <v>100</v>
      </c>
      <c r="M195" s="397">
        <f>J195</f>
        <v>2.6999999999999997</v>
      </c>
      <c r="N195" s="397" t="s">
        <v>100</v>
      </c>
      <c r="O195" s="397">
        <f>SUM(K195:N195)</f>
        <v>5.3999999999999995</v>
      </c>
    </row>
    <row r="196" spans="1:15">
      <c r="A196" s="811"/>
      <c r="B196" s="811"/>
      <c r="C196" s="811"/>
      <c r="D196" s="811"/>
      <c r="E196" s="397" t="s">
        <v>1352</v>
      </c>
      <c r="F196" s="397">
        <v>1.5</v>
      </c>
      <c r="G196" s="397">
        <v>0.6</v>
      </c>
      <c r="H196" s="397">
        <f>F196*G196</f>
        <v>0.89999999999999991</v>
      </c>
      <c r="I196" s="397">
        <v>3</v>
      </c>
      <c r="J196" s="397">
        <f>H196*I196</f>
        <v>2.6999999999999997</v>
      </c>
      <c r="K196" s="397">
        <f>J196</f>
        <v>2.6999999999999997</v>
      </c>
      <c r="L196" s="397" t="s">
        <v>100</v>
      </c>
      <c r="M196" s="397">
        <f>J196</f>
        <v>2.6999999999999997</v>
      </c>
      <c r="N196" s="397" t="s">
        <v>100</v>
      </c>
      <c r="O196" s="397">
        <f>SUM(K196:N196)</f>
        <v>5.3999999999999995</v>
      </c>
    </row>
    <row r="197" spans="1:15">
      <c r="A197" s="811"/>
      <c r="B197" s="811"/>
      <c r="C197" s="811"/>
      <c r="D197" s="811"/>
      <c r="E197" s="397" t="s">
        <v>1353</v>
      </c>
      <c r="F197" s="397">
        <v>1.34</v>
      </c>
      <c r="G197" s="397">
        <v>1.34</v>
      </c>
      <c r="H197" s="397">
        <f>F197*G197</f>
        <v>1.7956000000000003</v>
      </c>
      <c r="I197" s="397">
        <v>28</v>
      </c>
      <c r="J197" s="397">
        <f>H197*I197</f>
        <v>50.276800000000009</v>
      </c>
      <c r="K197" s="397">
        <f>J197</f>
        <v>50.276800000000009</v>
      </c>
      <c r="L197" s="397" t="s">
        <v>100</v>
      </c>
      <c r="M197" s="397">
        <f>J197</f>
        <v>50.276800000000009</v>
      </c>
      <c r="N197" s="397" t="s">
        <v>100</v>
      </c>
      <c r="O197" s="397">
        <f>SUM(K197:N197)</f>
        <v>100.55360000000002</v>
      </c>
    </row>
    <row r="198" spans="1:15" ht="15.75">
      <c r="A198" s="811"/>
      <c r="B198" s="811"/>
      <c r="C198" s="811"/>
      <c r="D198" s="811"/>
      <c r="E198" s="811"/>
      <c r="F198" s="811"/>
      <c r="G198" s="811"/>
      <c r="H198" s="811"/>
      <c r="I198" s="811"/>
      <c r="J198" s="811"/>
      <c r="K198" s="811"/>
      <c r="L198" s="811"/>
      <c r="M198" s="811"/>
      <c r="N198" s="811"/>
      <c r="O198" s="811"/>
    </row>
    <row r="199" spans="1:15" ht="15.75">
      <c r="A199" s="811"/>
      <c r="B199" s="811"/>
      <c r="C199" s="811"/>
      <c r="D199" s="811"/>
      <c r="E199" s="811"/>
      <c r="F199" s="811"/>
      <c r="G199" s="811"/>
      <c r="H199" s="811"/>
      <c r="I199" s="393" t="s">
        <v>2063</v>
      </c>
      <c r="J199" s="397">
        <f>SUM(J195:J197)</f>
        <v>55.676800000000007</v>
      </c>
      <c r="K199" s="815"/>
      <c r="L199" s="815"/>
      <c r="M199" s="815"/>
      <c r="N199" s="393" t="s">
        <v>2063</v>
      </c>
      <c r="O199" s="397">
        <f>SUM(O195:O197)</f>
        <v>111.35360000000001</v>
      </c>
    </row>
    <row r="200" spans="1:15" ht="15.75">
      <c r="A200" s="811"/>
      <c r="B200" s="811"/>
      <c r="C200" s="811"/>
      <c r="D200" s="811"/>
      <c r="E200" s="811"/>
      <c r="F200" s="811"/>
      <c r="G200" s="811"/>
      <c r="H200" s="811"/>
      <c r="I200" s="811"/>
      <c r="J200" s="811"/>
      <c r="K200" s="811"/>
      <c r="L200" s="811"/>
      <c r="M200" s="811"/>
      <c r="N200" s="811"/>
      <c r="O200" s="811"/>
    </row>
    <row r="201" spans="1:15" ht="78.75">
      <c r="A201" s="811"/>
      <c r="B201" s="811" t="s">
        <v>2114</v>
      </c>
      <c r="C201" s="811"/>
      <c r="D201" s="811" t="s">
        <v>2086</v>
      </c>
      <c r="E201" s="393" t="s">
        <v>100</v>
      </c>
      <c r="F201" s="393" t="s">
        <v>2062</v>
      </c>
      <c r="G201" s="393" t="s">
        <v>2061</v>
      </c>
      <c r="H201" s="393" t="s">
        <v>2060</v>
      </c>
      <c r="I201" s="393" t="s">
        <v>2059</v>
      </c>
      <c r="J201" s="393" t="s">
        <v>2054</v>
      </c>
      <c r="K201" s="394" t="s">
        <v>2058</v>
      </c>
      <c r="L201" s="394" t="s">
        <v>2057</v>
      </c>
      <c r="M201" s="394" t="s">
        <v>2056</v>
      </c>
      <c r="N201" s="394" t="s">
        <v>2055</v>
      </c>
      <c r="O201" s="394" t="s">
        <v>2054</v>
      </c>
    </row>
    <row r="202" spans="1:15">
      <c r="A202" s="811"/>
      <c r="B202" s="811"/>
      <c r="C202" s="811"/>
      <c r="D202" s="811"/>
      <c r="E202" s="397" t="s">
        <v>1351</v>
      </c>
      <c r="F202" s="397">
        <v>1.5</v>
      </c>
      <c r="G202" s="397">
        <v>0.6</v>
      </c>
      <c r="H202" s="397">
        <f>F202*G202</f>
        <v>0.89999999999999991</v>
      </c>
      <c r="I202" s="397">
        <v>3</v>
      </c>
      <c r="J202" s="397">
        <f>H202*I202</f>
        <v>2.6999999999999997</v>
      </c>
      <c r="K202" s="397">
        <f>J202</f>
        <v>2.6999999999999997</v>
      </c>
      <c r="L202" s="397" t="s">
        <v>100</v>
      </c>
      <c r="M202" s="397">
        <f>J202</f>
        <v>2.6999999999999997</v>
      </c>
      <c r="N202" s="397" t="s">
        <v>100</v>
      </c>
      <c r="O202" s="397">
        <f>SUM(K202:N202)</f>
        <v>5.3999999999999995</v>
      </c>
    </row>
    <row r="203" spans="1:15">
      <c r="A203" s="811"/>
      <c r="B203" s="811"/>
      <c r="C203" s="811"/>
      <c r="D203" s="811"/>
      <c r="E203" s="397" t="s">
        <v>1352</v>
      </c>
      <c r="F203" s="397">
        <v>1.5</v>
      </c>
      <c r="G203" s="397">
        <v>0.6</v>
      </c>
      <c r="H203" s="397">
        <f>F203*G203</f>
        <v>0.89999999999999991</v>
      </c>
      <c r="I203" s="397">
        <v>3</v>
      </c>
      <c r="J203" s="397">
        <f>H203*I203</f>
        <v>2.6999999999999997</v>
      </c>
      <c r="K203" s="397">
        <f>J203</f>
        <v>2.6999999999999997</v>
      </c>
      <c r="L203" s="397" t="s">
        <v>100</v>
      </c>
      <c r="M203" s="397">
        <f>J203</f>
        <v>2.6999999999999997</v>
      </c>
      <c r="N203" s="397" t="s">
        <v>100</v>
      </c>
      <c r="O203" s="397">
        <f>SUM(K203:N203)</f>
        <v>5.3999999999999995</v>
      </c>
    </row>
    <row r="204" spans="1:15">
      <c r="A204" s="811"/>
      <c r="B204" s="811"/>
      <c r="C204" s="811"/>
      <c r="D204" s="811"/>
      <c r="E204" s="397" t="s">
        <v>1353</v>
      </c>
      <c r="F204" s="397">
        <v>1.34</v>
      </c>
      <c r="G204" s="397">
        <v>1.34</v>
      </c>
      <c r="H204" s="397">
        <f>F204*G204</f>
        <v>1.7956000000000003</v>
      </c>
      <c r="I204" s="397">
        <v>28</v>
      </c>
      <c r="J204" s="397">
        <f>H204*I204</f>
        <v>50.276800000000009</v>
      </c>
      <c r="K204" s="397">
        <f>J204</f>
        <v>50.276800000000009</v>
      </c>
      <c r="L204" s="397" t="s">
        <v>100</v>
      </c>
      <c r="M204" s="397">
        <f>J204</f>
        <v>50.276800000000009</v>
      </c>
      <c r="N204" s="397" t="s">
        <v>100</v>
      </c>
      <c r="O204" s="397">
        <f>SUM(K204:N204)</f>
        <v>100.55360000000002</v>
      </c>
    </row>
    <row r="205" spans="1:15" ht="15.75">
      <c r="A205" s="811"/>
      <c r="B205" s="811"/>
      <c r="C205" s="811"/>
      <c r="D205" s="811"/>
      <c r="E205" s="811"/>
      <c r="F205" s="811"/>
      <c r="G205" s="811"/>
      <c r="H205" s="811"/>
      <c r="I205" s="811"/>
      <c r="J205" s="811"/>
      <c r="K205" s="811"/>
      <c r="L205" s="811"/>
      <c r="M205" s="811"/>
      <c r="N205" s="811"/>
      <c r="O205" s="811"/>
    </row>
    <row r="206" spans="1:15" ht="15.75">
      <c r="A206" s="811"/>
      <c r="B206" s="811"/>
      <c r="C206" s="811"/>
      <c r="D206" s="811"/>
      <c r="E206" s="811"/>
      <c r="F206" s="811"/>
      <c r="G206" s="811"/>
      <c r="H206" s="811"/>
      <c r="I206" s="393" t="s">
        <v>2063</v>
      </c>
      <c r="J206" s="397">
        <f>SUM(J202:J204)</f>
        <v>55.676800000000007</v>
      </c>
      <c r="K206" s="815"/>
      <c r="L206" s="815"/>
      <c r="M206" s="815"/>
      <c r="N206" s="393" t="s">
        <v>2063</v>
      </c>
      <c r="O206" s="397">
        <f>SUM(O202:O204)</f>
        <v>111.35360000000001</v>
      </c>
    </row>
    <row r="207" spans="1:15" ht="15.75">
      <c r="A207" s="811"/>
      <c r="B207" s="811"/>
      <c r="C207" s="811"/>
      <c r="D207" s="811"/>
      <c r="E207" s="811"/>
      <c r="F207" s="811"/>
      <c r="G207" s="811"/>
      <c r="H207" s="811"/>
      <c r="I207" s="811"/>
      <c r="J207" s="811"/>
      <c r="K207" s="811"/>
      <c r="L207" s="811"/>
      <c r="M207" s="811"/>
      <c r="N207" s="811"/>
      <c r="O207" s="811"/>
    </row>
    <row r="208" spans="1:15" ht="78.75">
      <c r="A208" s="811"/>
      <c r="B208" s="811" t="s">
        <v>2114</v>
      </c>
      <c r="C208" s="811"/>
      <c r="D208" s="811" t="s">
        <v>2085</v>
      </c>
      <c r="E208" s="393" t="s">
        <v>100</v>
      </c>
      <c r="F208" s="393" t="s">
        <v>2062</v>
      </c>
      <c r="G208" s="393" t="s">
        <v>2061</v>
      </c>
      <c r="H208" s="393" t="s">
        <v>2060</v>
      </c>
      <c r="I208" s="393" t="s">
        <v>2059</v>
      </c>
      <c r="J208" s="393" t="s">
        <v>2054</v>
      </c>
      <c r="K208" s="394" t="s">
        <v>2058</v>
      </c>
      <c r="L208" s="394" t="s">
        <v>2057</v>
      </c>
      <c r="M208" s="394" t="s">
        <v>2056</v>
      </c>
      <c r="N208" s="394" t="s">
        <v>2055</v>
      </c>
      <c r="O208" s="394" t="s">
        <v>2054</v>
      </c>
    </row>
    <row r="209" spans="1:15">
      <c r="A209" s="811"/>
      <c r="B209" s="811"/>
      <c r="C209" s="811"/>
      <c r="D209" s="811"/>
      <c r="E209" s="397" t="s">
        <v>1351</v>
      </c>
      <c r="F209" s="397">
        <v>1.5</v>
      </c>
      <c r="G209" s="397">
        <v>0.6</v>
      </c>
      <c r="H209" s="397">
        <f>F209*G209</f>
        <v>0.89999999999999991</v>
      </c>
      <c r="I209" s="397">
        <v>3</v>
      </c>
      <c r="J209" s="397">
        <f>H209*I209</f>
        <v>2.6999999999999997</v>
      </c>
      <c r="K209" s="397">
        <f>J209</f>
        <v>2.6999999999999997</v>
      </c>
      <c r="L209" s="397" t="s">
        <v>100</v>
      </c>
      <c r="M209" s="397">
        <f>J209</f>
        <v>2.6999999999999997</v>
      </c>
      <c r="N209" s="397" t="s">
        <v>100</v>
      </c>
      <c r="O209" s="397">
        <f>SUM(K209:N209)</f>
        <v>5.3999999999999995</v>
      </c>
    </row>
    <row r="210" spans="1:15">
      <c r="A210" s="811"/>
      <c r="B210" s="811"/>
      <c r="C210" s="811"/>
      <c r="D210" s="811"/>
      <c r="E210" s="397" t="s">
        <v>1352</v>
      </c>
      <c r="F210" s="397">
        <v>1.5</v>
      </c>
      <c r="G210" s="397">
        <v>0.6</v>
      </c>
      <c r="H210" s="397">
        <f>F210*G210</f>
        <v>0.89999999999999991</v>
      </c>
      <c r="I210" s="397">
        <v>3</v>
      </c>
      <c r="J210" s="397">
        <f>H210*I210</f>
        <v>2.6999999999999997</v>
      </c>
      <c r="K210" s="397">
        <f>J210</f>
        <v>2.6999999999999997</v>
      </c>
      <c r="L210" s="397" t="s">
        <v>100</v>
      </c>
      <c r="M210" s="397">
        <f>J210</f>
        <v>2.6999999999999997</v>
      </c>
      <c r="N210" s="397" t="s">
        <v>100</v>
      </c>
      <c r="O210" s="397">
        <f>SUM(K210:N210)</f>
        <v>5.3999999999999995</v>
      </c>
    </row>
    <row r="211" spans="1:15">
      <c r="A211" s="811"/>
      <c r="B211" s="811"/>
      <c r="C211" s="811"/>
      <c r="D211" s="811"/>
      <c r="E211" s="397" t="s">
        <v>1353</v>
      </c>
      <c r="F211" s="397">
        <v>1.34</v>
      </c>
      <c r="G211" s="397">
        <v>1.34</v>
      </c>
      <c r="H211" s="397">
        <f>F211*G211</f>
        <v>1.7956000000000003</v>
      </c>
      <c r="I211" s="397">
        <v>28</v>
      </c>
      <c r="J211" s="397">
        <f>H211*I211</f>
        <v>50.276800000000009</v>
      </c>
      <c r="K211" s="397">
        <f>J211</f>
        <v>50.276800000000009</v>
      </c>
      <c r="L211" s="397" t="s">
        <v>100</v>
      </c>
      <c r="M211" s="397">
        <f>J211</f>
        <v>50.276800000000009</v>
      </c>
      <c r="N211" s="397" t="s">
        <v>100</v>
      </c>
      <c r="O211" s="397">
        <f>SUM(K211:N211)</f>
        <v>100.55360000000002</v>
      </c>
    </row>
    <row r="212" spans="1:15" ht="15.75">
      <c r="A212" s="811"/>
      <c r="B212" s="811"/>
      <c r="C212" s="811"/>
      <c r="D212" s="811"/>
      <c r="E212" s="811"/>
      <c r="F212" s="811"/>
      <c r="G212" s="811"/>
      <c r="H212" s="811"/>
      <c r="I212" s="811"/>
      <c r="J212" s="811"/>
      <c r="K212" s="811"/>
      <c r="L212" s="811"/>
      <c r="M212" s="811"/>
      <c r="N212" s="811"/>
      <c r="O212" s="811"/>
    </row>
    <row r="213" spans="1:15" ht="15.75">
      <c r="A213" s="811"/>
      <c r="B213" s="811"/>
      <c r="C213" s="811"/>
      <c r="D213" s="811"/>
      <c r="E213" s="811"/>
      <c r="F213" s="811"/>
      <c r="G213" s="811"/>
      <c r="H213" s="811"/>
      <c r="I213" s="393" t="s">
        <v>2063</v>
      </c>
      <c r="J213" s="397">
        <f>SUM(J209:J211)</f>
        <v>55.676800000000007</v>
      </c>
      <c r="K213" s="815"/>
      <c r="L213" s="815"/>
      <c r="M213" s="815"/>
      <c r="N213" s="393" t="s">
        <v>2063</v>
      </c>
      <c r="O213" s="397">
        <f>SUM(O209:O211)</f>
        <v>111.35360000000001</v>
      </c>
    </row>
    <row r="214" spans="1:15" ht="15.75">
      <c r="B214" s="400"/>
      <c r="C214" s="400"/>
      <c r="D214" s="393"/>
    </row>
    <row r="215" spans="1:15" ht="78.75">
      <c r="B215" s="400"/>
      <c r="C215" s="810" t="s">
        <v>2063</v>
      </c>
      <c r="D215" s="810"/>
      <c r="E215" s="396" t="s">
        <v>100</v>
      </c>
      <c r="F215" s="396" t="s">
        <v>2062</v>
      </c>
      <c r="G215" s="396" t="s">
        <v>2061</v>
      </c>
      <c r="H215" s="396" t="s">
        <v>2060</v>
      </c>
      <c r="I215" s="396" t="s">
        <v>2059</v>
      </c>
      <c r="J215" s="396" t="s">
        <v>2054</v>
      </c>
      <c r="K215" s="395" t="s">
        <v>2058</v>
      </c>
      <c r="L215" s="395" t="s">
        <v>2057</v>
      </c>
      <c r="M215" s="395" t="s">
        <v>2056</v>
      </c>
      <c r="N215" s="395" t="s">
        <v>2055</v>
      </c>
      <c r="O215" s="395" t="s">
        <v>2054</v>
      </c>
    </row>
    <row r="216" spans="1:15" ht="15.75">
      <c r="B216" s="400"/>
      <c r="C216" s="810"/>
      <c r="D216" s="810"/>
      <c r="E216" s="392"/>
      <c r="F216" s="392"/>
      <c r="G216" s="392"/>
      <c r="H216" s="391"/>
      <c r="I216" s="391">
        <f>SUM(I171:I173,I178:I183,I188:I190,I195:I197,I202:I204,I209:I211)</f>
        <v>186</v>
      </c>
      <c r="J216" s="391">
        <f>SUM(J213,J206,J199,J192,J185,J175)</f>
        <v>289.61280000000005</v>
      </c>
      <c r="K216" s="391">
        <f>SUM(K171:K173,K178:K183,K188:K190,K195:K197,K202:K204,K209:K211)</f>
        <v>289.61279999999999</v>
      </c>
      <c r="L216" s="391">
        <f>SUM(L171:L173,L178:L183,L188:L190,L195:L197,L202:L204,L209:L211)</f>
        <v>66.905600000000007</v>
      </c>
      <c r="M216" s="391">
        <f>SUM(M171:M173,M178:M183,M188:M190,M195:M197,M202:M204,M209:M211)</f>
        <v>222.70720000000003</v>
      </c>
      <c r="N216" s="391">
        <f>SUM(N171:N173,N178:N183,N188:N190,N195:N197,N202:N204,N209:N211)</f>
        <v>0</v>
      </c>
      <c r="O216" s="391">
        <f>SUM(O175,O185,O192,O199,O206,O213)</f>
        <v>579.2256000000001</v>
      </c>
    </row>
    <row r="221" spans="1:15" ht="18.75">
      <c r="A221" s="814" t="s">
        <v>2139</v>
      </c>
      <c r="B221" s="814"/>
      <c r="C221" s="814"/>
      <c r="D221" s="814"/>
      <c r="E221" s="814"/>
      <c r="F221" s="814"/>
      <c r="G221" s="814"/>
      <c r="H221" s="814"/>
      <c r="I221" s="814"/>
      <c r="J221" s="814"/>
      <c r="K221" s="814"/>
      <c r="L221" s="814"/>
      <c r="M221" s="814"/>
      <c r="N221" s="814"/>
    </row>
    <row r="222" spans="1:15" ht="78.75">
      <c r="A222" s="811" t="s">
        <v>2107</v>
      </c>
      <c r="B222" s="811" t="s">
        <v>2106</v>
      </c>
      <c r="C222" s="393" t="s">
        <v>100</v>
      </c>
      <c r="D222" s="393" t="s">
        <v>2062</v>
      </c>
      <c r="E222" s="393" t="s">
        <v>2061</v>
      </c>
      <c r="F222" s="393" t="s">
        <v>2060</v>
      </c>
      <c r="G222" s="393" t="s">
        <v>2059</v>
      </c>
      <c r="H222" s="393" t="s">
        <v>2054</v>
      </c>
      <c r="I222" s="394" t="s">
        <v>2058</v>
      </c>
      <c r="J222" s="394" t="s">
        <v>2057</v>
      </c>
      <c r="K222" s="394" t="s">
        <v>2056</v>
      </c>
      <c r="L222" s="394" t="s">
        <v>2055</v>
      </c>
      <c r="M222" s="394" t="s">
        <v>2054</v>
      </c>
    </row>
    <row r="223" spans="1:15">
      <c r="A223" s="811"/>
      <c r="B223" s="811"/>
      <c r="C223" s="397" t="s">
        <v>1351</v>
      </c>
      <c r="D223" s="397">
        <v>3.2</v>
      </c>
      <c r="E223" s="397">
        <v>1.8</v>
      </c>
      <c r="F223" s="397">
        <f t="shared" ref="F223:F228" si="11">D223*E223</f>
        <v>5.7600000000000007</v>
      </c>
      <c r="G223" s="397">
        <v>16</v>
      </c>
      <c r="H223" s="397">
        <f t="shared" ref="H223:H228" si="12">F223*G223</f>
        <v>92.160000000000011</v>
      </c>
      <c r="I223" s="397">
        <f t="shared" ref="I223:J228" si="13">H223</f>
        <v>92.160000000000011</v>
      </c>
      <c r="J223" s="397">
        <f t="shared" si="13"/>
        <v>92.160000000000011</v>
      </c>
      <c r="K223" s="397" t="s">
        <v>100</v>
      </c>
      <c r="L223" s="397" t="s">
        <v>100</v>
      </c>
      <c r="M223" s="397">
        <f t="shared" ref="M223:M228" si="14">SUM(I223:L223)</f>
        <v>184.32000000000002</v>
      </c>
    </row>
    <row r="224" spans="1:15">
      <c r="A224" s="811"/>
      <c r="B224" s="811"/>
      <c r="C224" s="397" t="s">
        <v>1352</v>
      </c>
      <c r="D224" s="397">
        <v>4</v>
      </c>
      <c r="E224" s="397">
        <v>0.75</v>
      </c>
      <c r="F224" s="397">
        <f t="shared" si="11"/>
        <v>3</v>
      </c>
      <c r="G224" s="397">
        <v>1</v>
      </c>
      <c r="H224" s="397">
        <f t="shared" si="12"/>
        <v>3</v>
      </c>
      <c r="I224" s="397">
        <f t="shared" si="13"/>
        <v>3</v>
      </c>
      <c r="J224" s="397">
        <f t="shared" si="13"/>
        <v>3</v>
      </c>
      <c r="K224" s="397" t="s">
        <v>100</v>
      </c>
      <c r="L224" s="397" t="s">
        <v>100</v>
      </c>
      <c r="M224" s="397">
        <f t="shared" si="14"/>
        <v>6</v>
      </c>
    </row>
    <row r="225" spans="1:14">
      <c r="A225" s="811"/>
      <c r="B225" s="811"/>
      <c r="C225" s="397" t="s">
        <v>1353</v>
      </c>
      <c r="D225" s="397">
        <v>1.6</v>
      </c>
      <c r="E225" s="397">
        <v>0.9</v>
      </c>
      <c r="F225" s="397">
        <f t="shared" si="11"/>
        <v>1.4400000000000002</v>
      </c>
      <c r="G225" s="397">
        <v>2</v>
      </c>
      <c r="H225" s="397">
        <f t="shared" si="12"/>
        <v>2.8800000000000003</v>
      </c>
      <c r="I225" s="397">
        <f t="shared" si="13"/>
        <v>2.8800000000000003</v>
      </c>
      <c r="J225" s="397">
        <f t="shared" si="13"/>
        <v>2.8800000000000003</v>
      </c>
      <c r="K225" s="397" t="s">
        <v>100</v>
      </c>
      <c r="L225" s="397" t="s">
        <v>100</v>
      </c>
      <c r="M225" s="397">
        <f t="shared" si="14"/>
        <v>5.7600000000000007</v>
      </c>
    </row>
    <row r="226" spans="1:14">
      <c r="A226" s="811"/>
      <c r="B226" s="811"/>
      <c r="C226" s="397" t="s">
        <v>1354</v>
      </c>
      <c r="D226" s="397">
        <v>2</v>
      </c>
      <c r="E226" s="397">
        <v>1</v>
      </c>
      <c r="F226" s="397">
        <f t="shared" si="11"/>
        <v>2</v>
      </c>
      <c r="G226" s="397">
        <v>1</v>
      </c>
      <c r="H226" s="397">
        <f t="shared" si="12"/>
        <v>2</v>
      </c>
      <c r="I226" s="397">
        <f t="shared" si="13"/>
        <v>2</v>
      </c>
      <c r="J226" s="397">
        <f t="shared" si="13"/>
        <v>2</v>
      </c>
      <c r="K226" s="397" t="s">
        <v>100</v>
      </c>
      <c r="L226" s="397" t="s">
        <v>100</v>
      </c>
      <c r="M226" s="397">
        <f t="shared" si="14"/>
        <v>4</v>
      </c>
    </row>
    <row r="227" spans="1:14">
      <c r="A227" s="811"/>
      <c r="B227" s="811"/>
      <c r="C227" s="397" t="s">
        <v>2134</v>
      </c>
      <c r="D227" s="397">
        <v>2</v>
      </c>
      <c r="E227" s="397">
        <v>1</v>
      </c>
      <c r="F227" s="397">
        <f t="shared" si="11"/>
        <v>2</v>
      </c>
      <c r="G227" s="397">
        <v>1</v>
      </c>
      <c r="H227" s="397">
        <f t="shared" si="12"/>
        <v>2</v>
      </c>
      <c r="I227" s="397">
        <f t="shared" si="13"/>
        <v>2</v>
      </c>
      <c r="J227" s="397">
        <f t="shared" si="13"/>
        <v>2</v>
      </c>
      <c r="K227" s="397" t="s">
        <v>100</v>
      </c>
      <c r="L227" s="397" t="s">
        <v>100</v>
      </c>
      <c r="M227" s="397">
        <f t="shared" si="14"/>
        <v>4</v>
      </c>
    </row>
    <row r="228" spans="1:14">
      <c r="A228" s="811"/>
      <c r="B228" s="811"/>
      <c r="C228" s="397" t="s">
        <v>2133</v>
      </c>
      <c r="D228" s="397">
        <v>2</v>
      </c>
      <c r="E228" s="397">
        <v>1.1000000000000001</v>
      </c>
      <c r="F228" s="397">
        <f t="shared" si="11"/>
        <v>2.2000000000000002</v>
      </c>
      <c r="G228" s="397">
        <v>1</v>
      </c>
      <c r="H228" s="397">
        <f t="shared" si="12"/>
        <v>2.2000000000000002</v>
      </c>
      <c r="I228" s="397">
        <f t="shared" si="13"/>
        <v>2.2000000000000002</v>
      </c>
      <c r="J228" s="397">
        <f t="shared" si="13"/>
        <v>2.2000000000000002</v>
      </c>
      <c r="K228" s="397" t="s">
        <v>100</v>
      </c>
      <c r="L228" s="397" t="s">
        <v>100</v>
      </c>
      <c r="M228" s="397">
        <f t="shared" si="14"/>
        <v>4.4000000000000004</v>
      </c>
    </row>
    <row r="229" spans="1:14">
      <c r="A229" s="811"/>
      <c r="B229" s="811"/>
      <c r="C229" s="815"/>
      <c r="D229" s="815"/>
      <c r="E229" s="815"/>
      <c r="F229" s="815"/>
      <c r="G229" s="815"/>
      <c r="H229" s="815"/>
      <c r="I229" s="815"/>
      <c r="J229" s="815"/>
      <c r="K229" s="815"/>
      <c r="L229" s="815"/>
      <c r="M229" s="815"/>
    </row>
    <row r="230" spans="1:14" ht="15.75">
      <c r="A230" s="811"/>
      <c r="B230" s="811"/>
      <c r="C230" s="815"/>
      <c r="D230" s="815"/>
      <c r="E230" s="815"/>
      <c r="F230" s="815"/>
      <c r="G230" s="401" t="s">
        <v>2091</v>
      </c>
      <c r="H230" s="398">
        <f>SUM(H223:H228)</f>
        <v>104.24000000000001</v>
      </c>
      <c r="I230" s="815"/>
      <c r="J230" s="815"/>
      <c r="K230" s="815"/>
      <c r="L230" s="393" t="s">
        <v>2091</v>
      </c>
      <c r="M230" s="398">
        <f>SUM(M223:M228)</f>
        <v>208.48000000000002</v>
      </c>
    </row>
    <row r="231" spans="1:14" ht="15.75">
      <c r="A231" s="811"/>
      <c r="B231" s="811"/>
      <c r="C231" s="811"/>
      <c r="D231" s="811"/>
      <c r="E231" s="811"/>
      <c r="F231" s="811"/>
      <c r="G231" s="811"/>
      <c r="H231" s="811"/>
      <c r="I231" s="811"/>
      <c r="J231" s="811"/>
      <c r="K231" s="811"/>
      <c r="L231" s="811"/>
      <c r="M231" s="811"/>
    </row>
    <row r="232" spans="1:14" ht="78.75">
      <c r="A232" s="811"/>
      <c r="B232" s="811" t="s">
        <v>2102</v>
      </c>
      <c r="C232" s="811" t="s">
        <v>510</v>
      </c>
      <c r="D232" s="393" t="s">
        <v>100</v>
      </c>
      <c r="E232" s="393" t="s">
        <v>2062</v>
      </c>
      <c r="F232" s="393" t="s">
        <v>2061</v>
      </c>
      <c r="G232" s="393" t="s">
        <v>2060</v>
      </c>
      <c r="H232" s="393" t="s">
        <v>2059</v>
      </c>
      <c r="I232" s="393" t="s">
        <v>2054</v>
      </c>
      <c r="J232" s="394" t="s">
        <v>2058</v>
      </c>
      <c r="K232" s="394" t="s">
        <v>2057</v>
      </c>
      <c r="L232" s="394" t="s">
        <v>2056</v>
      </c>
      <c r="M232" s="394" t="s">
        <v>2055</v>
      </c>
      <c r="N232" s="394" t="s">
        <v>2054</v>
      </c>
    </row>
    <row r="233" spans="1:14">
      <c r="A233" s="811"/>
      <c r="B233" s="811"/>
      <c r="C233" s="811"/>
      <c r="D233" s="397" t="s">
        <v>1351</v>
      </c>
      <c r="E233" s="398">
        <v>0.6</v>
      </c>
      <c r="F233" s="398">
        <v>1.05</v>
      </c>
      <c r="G233" s="397">
        <f>E233*F233</f>
        <v>0.63</v>
      </c>
      <c r="H233" s="398">
        <v>2</v>
      </c>
      <c r="I233" s="397">
        <f>G233*H233</f>
        <v>1.26</v>
      </c>
      <c r="J233" s="397">
        <f>I233*2</f>
        <v>2.52</v>
      </c>
      <c r="K233" s="398" t="s">
        <v>100</v>
      </c>
      <c r="L233" s="398" t="s">
        <v>100</v>
      </c>
      <c r="M233" s="398" t="s">
        <v>100</v>
      </c>
      <c r="N233" s="397">
        <f>SUM(J233:M233)</f>
        <v>2.52</v>
      </c>
    </row>
    <row r="234" spans="1:14">
      <c r="A234" s="811"/>
      <c r="B234" s="811"/>
      <c r="C234" s="811"/>
      <c r="D234" s="397" t="s">
        <v>1352</v>
      </c>
      <c r="E234" s="398">
        <v>0.85</v>
      </c>
      <c r="F234" s="398">
        <v>0.6</v>
      </c>
      <c r="G234" s="397">
        <f>E234*F234</f>
        <v>0.51</v>
      </c>
      <c r="H234" s="398">
        <v>2</v>
      </c>
      <c r="I234" s="397">
        <f>G234*H234</f>
        <v>1.02</v>
      </c>
      <c r="J234" s="397">
        <f>I234</f>
        <v>1.02</v>
      </c>
      <c r="K234" s="397">
        <f>I234</f>
        <v>1.02</v>
      </c>
      <c r="L234" s="398" t="s">
        <v>100</v>
      </c>
      <c r="M234" s="398" t="s">
        <v>100</v>
      </c>
      <c r="N234" s="397">
        <f>SUM(J234:M234)</f>
        <v>2.04</v>
      </c>
    </row>
    <row r="235" spans="1:14">
      <c r="A235" s="811"/>
      <c r="B235" s="811"/>
      <c r="C235" s="811"/>
      <c r="D235" s="397" t="s">
        <v>1353</v>
      </c>
      <c r="E235" s="398">
        <v>1.5</v>
      </c>
      <c r="F235" s="398">
        <v>0.6</v>
      </c>
      <c r="G235" s="397">
        <f>E235*F235</f>
        <v>0.89999999999999991</v>
      </c>
      <c r="H235" s="398">
        <v>4</v>
      </c>
      <c r="I235" s="397">
        <f>G235*H235</f>
        <v>3.5999999999999996</v>
      </c>
      <c r="J235" s="398">
        <f>I235</f>
        <v>3.5999999999999996</v>
      </c>
      <c r="K235" s="398">
        <f>I235</f>
        <v>3.5999999999999996</v>
      </c>
      <c r="L235" s="398" t="s">
        <v>100</v>
      </c>
      <c r="M235" s="398" t="s">
        <v>100</v>
      </c>
      <c r="N235" s="397">
        <f>SUM(J235:M235)</f>
        <v>7.1999999999999993</v>
      </c>
    </row>
    <row r="236" spans="1:14">
      <c r="A236" s="811"/>
      <c r="B236" s="811"/>
      <c r="C236" s="811"/>
      <c r="D236" s="397" t="s">
        <v>1354</v>
      </c>
      <c r="E236" s="398">
        <v>1.4</v>
      </c>
      <c r="F236" s="398">
        <v>1.4</v>
      </c>
      <c r="G236" s="397">
        <f>E236*F236</f>
        <v>1.9599999999999997</v>
      </c>
      <c r="H236" s="398">
        <v>26</v>
      </c>
      <c r="I236" s="397">
        <f>G236*H236</f>
        <v>50.959999999999994</v>
      </c>
      <c r="J236" s="398">
        <f>I236</f>
        <v>50.959999999999994</v>
      </c>
      <c r="K236" s="398">
        <f>I236</f>
        <v>50.959999999999994</v>
      </c>
      <c r="L236" s="398" t="s">
        <v>100</v>
      </c>
      <c r="M236" s="398" t="s">
        <v>100</v>
      </c>
      <c r="N236" s="397">
        <f>SUM(J236:M236)</f>
        <v>101.91999999999999</v>
      </c>
    </row>
    <row r="237" spans="1:14">
      <c r="A237" s="811"/>
      <c r="B237" s="811"/>
      <c r="C237" s="815"/>
      <c r="D237" s="815"/>
      <c r="E237" s="815"/>
      <c r="F237" s="815"/>
      <c r="G237" s="815"/>
      <c r="H237" s="815"/>
      <c r="I237" s="815"/>
      <c r="J237" s="815"/>
      <c r="K237" s="815"/>
      <c r="L237" s="815"/>
      <c r="M237" s="815"/>
    </row>
    <row r="238" spans="1:14" ht="15.75">
      <c r="A238" s="811"/>
      <c r="B238" s="811"/>
      <c r="C238" s="815"/>
      <c r="D238" s="815"/>
      <c r="E238" s="815"/>
      <c r="F238" s="815"/>
      <c r="G238" s="815"/>
      <c r="H238" s="393" t="s">
        <v>2063</v>
      </c>
      <c r="I238" s="397">
        <f>SUM(I233:I236)</f>
        <v>56.839999999999996</v>
      </c>
      <c r="J238" s="815"/>
      <c r="K238" s="815"/>
      <c r="L238" s="815"/>
      <c r="M238" s="393" t="s">
        <v>2091</v>
      </c>
      <c r="N238" s="397">
        <f>SUM(N233:N236)</f>
        <v>113.67999999999999</v>
      </c>
    </row>
    <row r="239" spans="1:14" ht="15.75">
      <c r="A239" s="811"/>
      <c r="B239" s="811"/>
      <c r="C239" s="811"/>
      <c r="D239" s="811"/>
      <c r="E239" s="811"/>
      <c r="F239" s="811"/>
      <c r="G239" s="811"/>
      <c r="H239" s="811"/>
      <c r="I239" s="811"/>
      <c r="J239" s="811"/>
      <c r="K239" s="811"/>
      <c r="L239" s="811"/>
      <c r="M239" s="811"/>
      <c r="N239" s="811"/>
    </row>
    <row r="240" spans="1:14" ht="78.75">
      <c r="A240" s="811"/>
      <c r="B240" s="811"/>
      <c r="C240" s="811" t="s">
        <v>536</v>
      </c>
      <c r="D240" s="393" t="s">
        <v>100</v>
      </c>
      <c r="E240" s="393" t="s">
        <v>2062</v>
      </c>
      <c r="F240" s="393" t="s">
        <v>2061</v>
      </c>
      <c r="G240" s="393" t="s">
        <v>2060</v>
      </c>
      <c r="H240" s="393" t="s">
        <v>2059</v>
      </c>
      <c r="I240" s="393" t="s">
        <v>2054</v>
      </c>
      <c r="J240" s="394" t="s">
        <v>2058</v>
      </c>
      <c r="K240" s="394" t="s">
        <v>2057</v>
      </c>
      <c r="L240" s="394" t="s">
        <v>2056</v>
      </c>
      <c r="M240" s="394" t="s">
        <v>2055</v>
      </c>
      <c r="N240" s="394" t="s">
        <v>2054</v>
      </c>
    </row>
    <row r="241" spans="1:14">
      <c r="A241" s="811"/>
      <c r="B241" s="811"/>
      <c r="C241" s="811"/>
      <c r="D241" s="398" t="s">
        <v>1352</v>
      </c>
      <c r="E241" s="398">
        <v>0.85</v>
      </c>
      <c r="F241" s="398">
        <v>0.6</v>
      </c>
      <c r="G241" s="397">
        <f>E241*F241</f>
        <v>0.51</v>
      </c>
      <c r="H241" s="398">
        <v>2</v>
      </c>
      <c r="I241" s="397">
        <f>G241*H241</f>
        <v>1.02</v>
      </c>
      <c r="J241" s="397">
        <f>I241</f>
        <v>1.02</v>
      </c>
      <c r="K241" s="397">
        <f>I241</f>
        <v>1.02</v>
      </c>
      <c r="L241" s="398" t="s">
        <v>100</v>
      </c>
      <c r="M241" s="398" t="s">
        <v>100</v>
      </c>
      <c r="N241" s="397">
        <f>SUM(J241:M241)</f>
        <v>2.04</v>
      </c>
    </row>
    <row r="242" spans="1:14">
      <c r="A242" s="811"/>
      <c r="B242" s="811"/>
      <c r="C242" s="811"/>
      <c r="D242" s="398" t="s">
        <v>1353</v>
      </c>
      <c r="E242" s="398">
        <v>1.5</v>
      </c>
      <c r="F242" s="398">
        <v>0.6</v>
      </c>
      <c r="G242" s="397">
        <f>E242*F242</f>
        <v>0.89999999999999991</v>
      </c>
      <c r="H242" s="398">
        <v>4</v>
      </c>
      <c r="I242" s="397">
        <f>G242*H242</f>
        <v>3.5999999999999996</v>
      </c>
      <c r="J242" s="398">
        <f>I242</f>
        <v>3.5999999999999996</v>
      </c>
      <c r="K242" s="398">
        <f>I242</f>
        <v>3.5999999999999996</v>
      </c>
      <c r="L242" s="398" t="s">
        <v>100</v>
      </c>
      <c r="M242" s="398" t="s">
        <v>100</v>
      </c>
      <c r="N242" s="397">
        <f>SUM(J242:M242)</f>
        <v>7.1999999999999993</v>
      </c>
    </row>
    <row r="243" spans="1:14">
      <c r="A243" s="811"/>
      <c r="B243" s="811"/>
      <c r="C243" s="811"/>
      <c r="D243" s="398" t="s">
        <v>1354</v>
      </c>
      <c r="E243" s="398">
        <v>1.4</v>
      </c>
      <c r="F243" s="398">
        <v>1.4</v>
      </c>
      <c r="G243" s="397">
        <f>E243*F243</f>
        <v>1.9599999999999997</v>
      </c>
      <c r="H243" s="398">
        <v>26</v>
      </c>
      <c r="I243" s="397">
        <f>G243*H243</f>
        <v>50.959999999999994</v>
      </c>
      <c r="J243" s="398">
        <f>I243</f>
        <v>50.959999999999994</v>
      </c>
      <c r="K243" s="398">
        <f>I243</f>
        <v>50.959999999999994</v>
      </c>
      <c r="L243" s="398" t="s">
        <v>100</v>
      </c>
      <c r="M243" s="398" t="s">
        <v>100</v>
      </c>
      <c r="N243" s="397">
        <f>SUM(J243:M243)</f>
        <v>101.91999999999999</v>
      </c>
    </row>
    <row r="244" spans="1:14">
      <c r="A244" s="811"/>
      <c r="B244" s="811"/>
      <c r="C244" s="811"/>
      <c r="D244" s="815"/>
      <c r="E244" s="815"/>
      <c r="F244" s="815"/>
      <c r="G244" s="815"/>
      <c r="H244" s="815"/>
      <c r="I244" s="815"/>
      <c r="J244" s="815"/>
      <c r="K244" s="815"/>
      <c r="L244" s="815"/>
      <c r="M244" s="815"/>
      <c r="N244" s="815"/>
    </row>
    <row r="245" spans="1:14" ht="15.75">
      <c r="A245" s="811"/>
      <c r="B245" s="811"/>
      <c r="C245" s="815"/>
      <c r="D245" s="815"/>
      <c r="E245" s="815"/>
      <c r="F245" s="815"/>
      <c r="G245" s="815"/>
      <c r="H245" s="393" t="s">
        <v>2063</v>
      </c>
      <c r="I245" s="397">
        <f>SUM(I241:I243)</f>
        <v>55.579999999999991</v>
      </c>
      <c r="J245" s="815"/>
      <c r="K245" s="815"/>
      <c r="L245" s="815"/>
      <c r="M245" s="393" t="s">
        <v>2091</v>
      </c>
      <c r="N245" s="397">
        <f>SUM(N241:N243)</f>
        <v>111.15999999999998</v>
      </c>
    </row>
    <row r="246" spans="1:14">
      <c r="A246" s="811"/>
      <c r="B246" s="811"/>
      <c r="C246" s="815"/>
      <c r="D246" s="815"/>
      <c r="E246" s="815"/>
      <c r="F246" s="815"/>
      <c r="G246" s="815"/>
      <c r="H246" s="815"/>
      <c r="I246" s="815"/>
      <c r="J246" s="815"/>
      <c r="K246" s="815"/>
      <c r="L246" s="815"/>
      <c r="M246" s="815"/>
      <c r="N246" s="815"/>
    </row>
    <row r="247" spans="1:14" ht="78.75">
      <c r="A247" s="811"/>
      <c r="B247" s="811"/>
      <c r="C247" s="811" t="s">
        <v>2101</v>
      </c>
      <c r="D247" s="393" t="s">
        <v>100</v>
      </c>
      <c r="E247" s="393" t="s">
        <v>2062</v>
      </c>
      <c r="F247" s="393" t="s">
        <v>2061</v>
      </c>
      <c r="G247" s="393" t="s">
        <v>2060</v>
      </c>
      <c r="H247" s="393" t="s">
        <v>2059</v>
      </c>
      <c r="I247" s="393" t="s">
        <v>2054</v>
      </c>
      <c r="J247" s="394" t="s">
        <v>2058</v>
      </c>
      <c r="K247" s="394" t="s">
        <v>2057</v>
      </c>
      <c r="L247" s="394" t="s">
        <v>2056</v>
      </c>
      <c r="M247" s="394" t="s">
        <v>2055</v>
      </c>
      <c r="N247" s="394" t="s">
        <v>2054</v>
      </c>
    </row>
    <row r="248" spans="1:14">
      <c r="A248" s="811"/>
      <c r="B248" s="811"/>
      <c r="C248" s="811"/>
      <c r="D248" s="398" t="s">
        <v>1352</v>
      </c>
      <c r="E248" s="398">
        <v>0.85</v>
      </c>
      <c r="F248" s="398">
        <v>0.6</v>
      </c>
      <c r="G248" s="397">
        <f>E248*F248</f>
        <v>0.51</v>
      </c>
      <c r="H248" s="398">
        <v>2</v>
      </c>
      <c r="I248" s="397">
        <f>G248*H248</f>
        <v>1.02</v>
      </c>
      <c r="J248" s="397">
        <f>I248</f>
        <v>1.02</v>
      </c>
      <c r="K248" s="398" t="s">
        <v>100</v>
      </c>
      <c r="L248" s="397">
        <f>J248</f>
        <v>1.02</v>
      </c>
      <c r="M248" s="398" t="s">
        <v>100</v>
      </c>
      <c r="N248" s="397">
        <f>SUM(J248:M248)</f>
        <v>2.04</v>
      </c>
    </row>
    <row r="249" spans="1:14">
      <c r="A249" s="811"/>
      <c r="B249" s="811"/>
      <c r="C249" s="811"/>
      <c r="D249" s="398" t="s">
        <v>1353</v>
      </c>
      <c r="E249" s="398">
        <v>1.5</v>
      </c>
      <c r="F249" s="398">
        <v>0.6</v>
      </c>
      <c r="G249" s="397">
        <f>E249*F249</f>
        <v>0.89999999999999991</v>
      </c>
      <c r="H249" s="398">
        <v>4</v>
      </c>
      <c r="I249" s="397">
        <f>G249*H249</f>
        <v>3.5999999999999996</v>
      </c>
      <c r="J249" s="398">
        <f>I249</f>
        <v>3.5999999999999996</v>
      </c>
      <c r="K249" s="398" t="s">
        <v>100</v>
      </c>
      <c r="L249" s="398">
        <f>J249</f>
        <v>3.5999999999999996</v>
      </c>
      <c r="M249" s="398" t="s">
        <v>100</v>
      </c>
      <c r="N249" s="397">
        <f>SUM(J249:M249)</f>
        <v>7.1999999999999993</v>
      </c>
    </row>
    <row r="250" spans="1:14">
      <c r="A250" s="811"/>
      <c r="B250" s="811"/>
      <c r="C250" s="811"/>
      <c r="D250" s="398" t="s">
        <v>1354</v>
      </c>
      <c r="E250" s="398">
        <v>1.4</v>
      </c>
      <c r="F250" s="398">
        <v>1.4</v>
      </c>
      <c r="G250" s="397">
        <f>E250*F250</f>
        <v>1.9599999999999997</v>
      </c>
      <c r="H250" s="398">
        <v>26</v>
      </c>
      <c r="I250" s="397">
        <f>G250*H250</f>
        <v>50.959999999999994</v>
      </c>
      <c r="J250" s="398">
        <f>I250</f>
        <v>50.959999999999994</v>
      </c>
      <c r="K250" s="398" t="s">
        <v>100</v>
      </c>
      <c r="L250" s="398">
        <f>J250</f>
        <v>50.959999999999994</v>
      </c>
      <c r="M250" s="398" t="s">
        <v>100</v>
      </c>
      <c r="N250" s="397">
        <f>SUM(J250:M250)</f>
        <v>101.91999999999999</v>
      </c>
    </row>
    <row r="251" spans="1:14">
      <c r="A251" s="811"/>
      <c r="B251" s="811"/>
      <c r="C251" s="811"/>
      <c r="D251" s="815"/>
      <c r="E251" s="815"/>
      <c r="F251" s="815"/>
      <c r="G251" s="815"/>
      <c r="H251" s="815"/>
      <c r="I251" s="815"/>
      <c r="J251" s="815"/>
      <c r="K251" s="815"/>
      <c r="L251" s="815"/>
      <c r="M251" s="815"/>
      <c r="N251" s="815"/>
    </row>
    <row r="252" spans="1:14" ht="15.75">
      <c r="A252" s="811"/>
      <c r="B252" s="811"/>
      <c r="C252" s="815"/>
      <c r="D252" s="815"/>
      <c r="E252" s="815"/>
      <c r="F252" s="815"/>
      <c r="G252" s="815"/>
      <c r="H252" s="393" t="s">
        <v>2063</v>
      </c>
      <c r="I252" s="397">
        <f>SUM(I248:I250)</f>
        <v>55.579999999999991</v>
      </c>
      <c r="J252" s="815"/>
      <c r="K252" s="815"/>
      <c r="L252" s="815"/>
      <c r="M252" s="393" t="s">
        <v>2091</v>
      </c>
      <c r="N252" s="397">
        <f>SUM(N248:N250)</f>
        <v>111.15999999999998</v>
      </c>
    </row>
    <row r="253" spans="1:14">
      <c r="A253" s="811"/>
      <c r="B253" s="811"/>
      <c r="C253" s="815"/>
      <c r="D253" s="815"/>
      <c r="E253" s="815"/>
      <c r="F253" s="815"/>
      <c r="G253" s="815"/>
      <c r="H253" s="815"/>
      <c r="I253" s="815"/>
      <c r="J253" s="815"/>
      <c r="K253" s="815"/>
      <c r="L253" s="815"/>
      <c r="M253" s="815"/>
      <c r="N253" s="815"/>
    </row>
    <row r="254" spans="1:14" ht="78.75">
      <c r="A254" s="811"/>
      <c r="B254" s="811"/>
      <c r="C254" s="811" t="s">
        <v>2100</v>
      </c>
      <c r="D254" s="393" t="s">
        <v>100</v>
      </c>
      <c r="E254" s="393" t="s">
        <v>2062</v>
      </c>
      <c r="F254" s="393" t="s">
        <v>2061</v>
      </c>
      <c r="G254" s="393" t="s">
        <v>2060</v>
      </c>
      <c r="H254" s="393" t="s">
        <v>2059</v>
      </c>
      <c r="I254" s="393" t="s">
        <v>2054</v>
      </c>
      <c r="J254" s="394" t="s">
        <v>2058</v>
      </c>
      <c r="K254" s="394" t="s">
        <v>2057</v>
      </c>
      <c r="L254" s="394" t="s">
        <v>2056</v>
      </c>
      <c r="M254" s="394" t="s">
        <v>2055</v>
      </c>
      <c r="N254" s="394" t="s">
        <v>2054</v>
      </c>
    </row>
    <row r="255" spans="1:14">
      <c r="A255" s="811"/>
      <c r="B255" s="811"/>
      <c r="C255" s="811"/>
      <c r="D255" s="397" t="s">
        <v>1352</v>
      </c>
      <c r="E255" s="398">
        <v>0.85</v>
      </c>
      <c r="F255" s="398">
        <v>0.6</v>
      </c>
      <c r="G255" s="397">
        <f>E255*F255</f>
        <v>0.51</v>
      </c>
      <c r="H255" s="398">
        <v>2</v>
      </c>
      <c r="I255" s="397">
        <f>G255*H255</f>
        <v>1.02</v>
      </c>
      <c r="J255" s="397">
        <f>I255</f>
        <v>1.02</v>
      </c>
      <c r="K255" s="398" t="s">
        <v>100</v>
      </c>
      <c r="L255" s="397">
        <f>J255</f>
        <v>1.02</v>
      </c>
      <c r="M255" s="398" t="s">
        <v>100</v>
      </c>
      <c r="N255" s="397">
        <f>SUM(J255:M255)</f>
        <v>2.04</v>
      </c>
    </row>
    <row r="256" spans="1:14">
      <c r="A256" s="811"/>
      <c r="B256" s="811"/>
      <c r="C256" s="811"/>
      <c r="D256" s="397" t="s">
        <v>1353</v>
      </c>
      <c r="E256" s="398">
        <v>1.5</v>
      </c>
      <c r="F256" s="398">
        <v>0.6</v>
      </c>
      <c r="G256" s="397">
        <f>E256*F256</f>
        <v>0.89999999999999991</v>
      </c>
      <c r="H256" s="398">
        <v>4</v>
      </c>
      <c r="I256" s="397">
        <f>G256*H256</f>
        <v>3.5999999999999996</v>
      </c>
      <c r="J256" s="398">
        <f>I256</f>
        <v>3.5999999999999996</v>
      </c>
      <c r="K256" s="398" t="s">
        <v>100</v>
      </c>
      <c r="L256" s="398">
        <f>J256</f>
        <v>3.5999999999999996</v>
      </c>
      <c r="M256" s="398" t="s">
        <v>100</v>
      </c>
      <c r="N256" s="397">
        <f>SUM(J256:M256)</f>
        <v>7.1999999999999993</v>
      </c>
    </row>
    <row r="257" spans="1:14">
      <c r="A257" s="811"/>
      <c r="B257" s="811"/>
      <c r="C257" s="811"/>
      <c r="D257" s="397" t="s">
        <v>1354</v>
      </c>
      <c r="E257" s="398">
        <v>1.4</v>
      </c>
      <c r="F257" s="398">
        <v>1.4</v>
      </c>
      <c r="G257" s="397">
        <f>E257*F257</f>
        <v>1.9599999999999997</v>
      </c>
      <c r="H257" s="398">
        <v>26</v>
      </c>
      <c r="I257" s="397">
        <f>G257*H257</f>
        <v>50.959999999999994</v>
      </c>
      <c r="J257" s="398">
        <f>I257</f>
        <v>50.959999999999994</v>
      </c>
      <c r="K257" s="398" t="s">
        <v>100</v>
      </c>
      <c r="L257" s="398">
        <f>J257</f>
        <v>50.959999999999994</v>
      </c>
      <c r="M257" s="398" t="s">
        <v>100</v>
      </c>
      <c r="N257" s="397">
        <f>SUM(J257:M257)</f>
        <v>101.91999999999999</v>
      </c>
    </row>
    <row r="258" spans="1:14">
      <c r="A258" s="811"/>
      <c r="B258" s="811"/>
      <c r="C258" s="811"/>
      <c r="D258" s="815"/>
      <c r="E258" s="815"/>
      <c r="F258" s="815"/>
      <c r="G258" s="815"/>
      <c r="H258" s="815"/>
      <c r="I258" s="815"/>
      <c r="J258" s="815"/>
      <c r="K258" s="815"/>
      <c r="L258" s="815"/>
      <c r="M258" s="815"/>
      <c r="N258" s="815"/>
    </row>
    <row r="259" spans="1:14" ht="15.75">
      <c r="A259" s="811"/>
      <c r="B259" s="811"/>
      <c r="C259" s="815"/>
      <c r="D259" s="815"/>
      <c r="E259" s="815"/>
      <c r="F259" s="815"/>
      <c r="G259" s="815"/>
      <c r="H259" s="393" t="s">
        <v>2063</v>
      </c>
      <c r="I259" s="397">
        <f>SUM(I255:I257)</f>
        <v>55.579999999999991</v>
      </c>
      <c r="J259" s="815"/>
      <c r="K259" s="815"/>
      <c r="L259" s="815"/>
      <c r="M259" s="393" t="s">
        <v>2091</v>
      </c>
      <c r="N259" s="397">
        <f>SUM(N255:N257)</f>
        <v>111.15999999999998</v>
      </c>
    </row>
    <row r="260" spans="1:14">
      <c r="A260" s="811"/>
      <c r="B260" s="811"/>
      <c r="C260" s="815"/>
      <c r="D260" s="815"/>
      <c r="E260" s="815"/>
      <c r="F260" s="815"/>
      <c r="G260" s="815"/>
      <c r="H260" s="815"/>
      <c r="I260" s="815"/>
      <c r="J260" s="815"/>
      <c r="K260" s="815"/>
      <c r="L260" s="815"/>
      <c r="M260" s="815"/>
      <c r="N260" s="815"/>
    </row>
    <row r="261" spans="1:14" ht="78.75">
      <c r="A261" s="811"/>
      <c r="B261" s="811"/>
      <c r="C261" s="811" t="s">
        <v>2099</v>
      </c>
      <c r="D261" s="393" t="s">
        <v>100</v>
      </c>
      <c r="E261" s="393" t="s">
        <v>2062</v>
      </c>
      <c r="F261" s="393" t="s">
        <v>2061</v>
      </c>
      <c r="G261" s="393" t="s">
        <v>2060</v>
      </c>
      <c r="H261" s="393" t="s">
        <v>2059</v>
      </c>
      <c r="I261" s="393" t="s">
        <v>2054</v>
      </c>
      <c r="J261" s="394" t="s">
        <v>2058</v>
      </c>
      <c r="K261" s="394" t="s">
        <v>2057</v>
      </c>
      <c r="L261" s="394" t="s">
        <v>2056</v>
      </c>
      <c r="M261" s="394" t="s">
        <v>2055</v>
      </c>
      <c r="N261" s="394" t="s">
        <v>2054</v>
      </c>
    </row>
    <row r="262" spans="1:14">
      <c r="A262" s="811"/>
      <c r="B262" s="811"/>
      <c r="C262" s="811"/>
      <c r="D262" s="397" t="s">
        <v>1352</v>
      </c>
      <c r="E262" s="398">
        <v>0.85</v>
      </c>
      <c r="F262" s="398">
        <v>0.6</v>
      </c>
      <c r="G262" s="397">
        <f>E262*F262</f>
        <v>0.51</v>
      </c>
      <c r="H262" s="398">
        <v>2</v>
      </c>
      <c r="I262" s="397">
        <f>G262*H262</f>
        <v>1.02</v>
      </c>
      <c r="J262" s="397">
        <f>I262</f>
        <v>1.02</v>
      </c>
      <c r="K262" s="398" t="s">
        <v>100</v>
      </c>
      <c r="L262" s="397">
        <f>J262</f>
        <v>1.02</v>
      </c>
      <c r="M262" s="398" t="s">
        <v>100</v>
      </c>
      <c r="N262" s="397">
        <f>SUM(J262:M262)</f>
        <v>2.04</v>
      </c>
    </row>
    <row r="263" spans="1:14">
      <c r="A263" s="811"/>
      <c r="B263" s="811"/>
      <c r="C263" s="811"/>
      <c r="D263" s="397" t="s">
        <v>1353</v>
      </c>
      <c r="E263" s="398">
        <v>1.5</v>
      </c>
      <c r="F263" s="398">
        <v>0.6</v>
      </c>
      <c r="G263" s="397">
        <f>E263*F263</f>
        <v>0.89999999999999991</v>
      </c>
      <c r="H263" s="398">
        <v>4</v>
      </c>
      <c r="I263" s="397">
        <f>G263*H263</f>
        <v>3.5999999999999996</v>
      </c>
      <c r="J263" s="398">
        <f>I263</f>
        <v>3.5999999999999996</v>
      </c>
      <c r="K263" s="398" t="s">
        <v>100</v>
      </c>
      <c r="L263" s="398">
        <f>J263</f>
        <v>3.5999999999999996</v>
      </c>
      <c r="M263" s="398" t="s">
        <v>100</v>
      </c>
      <c r="N263" s="397">
        <f>SUM(J263:M263)</f>
        <v>7.1999999999999993</v>
      </c>
    </row>
    <row r="264" spans="1:14">
      <c r="A264" s="811"/>
      <c r="B264" s="811"/>
      <c r="C264" s="811"/>
      <c r="D264" s="397" t="s">
        <v>1354</v>
      </c>
      <c r="E264" s="398">
        <v>1.4</v>
      </c>
      <c r="F264" s="398">
        <v>1.4</v>
      </c>
      <c r="G264" s="397">
        <f>E264*F264</f>
        <v>1.9599999999999997</v>
      </c>
      <c r="H264" s="398">
        <v>26</v>
      </c>
      <c r="I264" s="397">
        <f>G264*H264</f>
        <v>50.959999999999994</v>
      </c>
      <c r="J264" s="398">
        <f>I264</f>
        <v>50.959999999999994</v>
      </c>
      <c r="K264" s="398" t="s">
        <v>100</v>
      </c>
      <c r="L264" s="398">
        <f>J264</f>
        <v>50.959999999999994</v>
      </c>
      <c r="M264" s="398" t="s">
        <v>100</v>
      </c>
      <c r="N264" s="397">
        <f>SUM(J264:M264)</f>
        <v>101.91999999999999</v>
      </c>
    </row>
    <row r="265" spans="1:14">
      <c r="A265" s="811"/>
      <c r="B265" s="811"/>
      <c r="C265" s="811"/>
      <c r="D265" s="815"/>
      <c r="E265" s="815"/>
      <c r="F265" s="815"/>
      <c r="G265" s="815"/>
      <c r="H265" s="815"/>
      <c r="I265" s="815"/>
      <c r="J265" s="815"/>
      <c r="K265" s="815"/>
      <c r="L265" s="815"/>
      <c r="M265" s="815"/>
      <c r="N265" s="815"/>
    </row>
    <row r="266" spans="1:14" ht="15.75">
      <c r="A266" s="811"/>
      <c r="B266" s="811"/>
      <c r="C266" s="815"/>
      <c r="D266" s="815"/>
      <c r="E266" s="815"/>
      <c r="F266" s="815"/>
      <c r="G266" s="815"/>
      <c r="H266" s="393" t="s">
        <v>2063</v>
      </c>
      <c r="I266" s="397">
        <f>SUM(I262:I264)</f>
        <v>55.579999999999991</v>
      </c>
      <c r="J266" s="815"/>
      <c r="K266" s="815"/>
      <c r="L266" s="815"/>
      <c r="M266" s="393" t="s">
        <v>2091</v>
      </c>
      <c r="N266" s="397">
        <f>SUM(N262:N264)</f>
        <v>111.15999999999998</v>
      </c>
    </row>
    <row r="267" spans="1:14">
      <c r="A267" s="811"/>
      <c r="B267" s="811"/>
      <c r="C267" s="815"/>
      <c r="D267" s="815"/>
      <c r="E267" s="815"/>
      <c r="F267" s="815"/>
      <c r="G267" s="815"/>
      <c r="H267" s="815"/>
      <c r="I267" s="815"/>
      <c r="J267" s="815"/>
      <c r="K267" s="815"/>
      <c r="L267" s="815"/>
      <c r="M267" s="815"/>
      <c r="N267" s="815"/>
    </row>
    <row r="268" spans="1:14" ht="78.75">
      <c r="A268" s="811"/>
      <c r="B268" s="811"/>
      <c r="C268" s="811" t="s">
        <v>2097</v>
      </c>
      <c r="D268" s="393" t="s">
        <v>100</v>
      </c>
      <c r="E268" s="393" t="s">
        <v>2062</v>
      </c>
      <c r="F268" s="393" t="s">
        <v>2061</v>
      </c>
      <c r="G268" s="393" t="s">
        <v>2060</v>
      </c>
      <c r="H268" s="393" t="s">
        <v>2059</v>
      </c>
      <c r="I268" s="393" t="s">
        <v>2054</v>
      </c>
      <c r="J268" s="394" t="s">
        <v>2058</v>
      </c>
      <c r="K268" s="394" t="s">
        <v>2057</v>
      </c>
      <c r="L268" s="394" t="s">
        <v>2056</v>
      </c>
      <c r="M268" s="394" t="s">
        <v>2055</v>
      </c>
      <c r="N268" s="394" t="s">
        <v>2054</v>
      </c>
    </row>
    <row r="269" spans="1:14">
      <c r="A269" s="811"/>
      <c r="B269" s="811"/>
      <c r="C269" s="811"/>
      <c r="D269" s="397" t="s">
        <v>1352</v>
      </c>
      <c r="E269" s="398">
        <v>0.85</v>
      </c>
      <c r="F269" s="398">
        <v>0.6</v>
      </c>
      <c r="G269" s="397">
        <f>E269*F269</f>
        <v>0.51</v>
      </c>
      <c r="H269" s="398">
        <v>2</v>
      </c>
      <c r="I269" s="397">
        <f>G269*H269</f>
        <v>1.02</v>
      </c>
      <c r="J269" s="397">
        <f>I269</f>
        <v>1.02</v>
      </c>
      <c r="K269" s="398" t="s">
        <v>100</v>
      </c>
      <c r="L269" s="397">
        <f>J269</f>
        <v>1.02</v>
      </c>
      <c r="M269" s="398" t="s">
        <v>100</v>
      </c>
      <c r="N269" s="397">
        <f>SUM(J269:M269)</f>
        <v>2.04</v>
      </c>
    </row>
    <row r="270" spans="1:14">
      <c r="A270" s="811"/>
      <c r="B270" s="811"/>
      <c r="C270" s="811"/>
      <c r="D270" s="397" t="s">
        <v>1353</v>
      </c>
      <c r="E270" s="398">
        <v>1.5</v>
      </c>
      <c r="F270" s="398">
        <v>0.6</v>
      </c>
      <c r="G270" s="397">
        <f>E270*F270</f>
        <v>0.89999999999999991</v>
      </c>
      <c r="H270" s="398">
        <v>4</v>
      </c>
      <c r="I270" s="397">
        <f>G270*H270</f>
        <v>3.5999999999999996</v>
      </c>
      <c r="J270" s="398">
        <f>I270</f>
        <v>3.5999999999999996</v>
      </c>
      <c r="K270" s="398" t="s">
        <v>100</v>
      </c>
      <c r="L270" s="398">
        <f>J270</f>
        <v>3.5999999999999996</v>
      </c>
      <c r="M270" s="398" t="s">
        <v>100</v>
      </c>
      <c r="N270" s="397">
        <f>SUM(J270:M270)</f>
        <v>7.1999999999999993</v>
      </c>
    </row>
    <row r="271" spans="1:14">
      <c r="A271" s="811"/>
      <c r="B271" s="811"/>
      <c r="C271" s="811"/>
      <c r="D271" s="397" t="s">
        <v>1354</v>
      </c>
      <c r="E271" s="398">
        <v>1.4</v>
      </c>
      <c r="F271" s="398">
        <v>1.4</v>
      </c>
      <c r="G271" s="397">
        <f>E271*F271</f>
        <v>1.9599999999999997</v>
      </c>
      <c r="H271" s="398">
        <v>26</v>
      </c>
      <c r="I271" s="397">
        <f>G271*H271</f>
        <v>50.959999999999994</v>
      </c>
      <c r="J271" s="398">
        <f>I271</f>
        <v>50.959999999999994</v>
      </c>
      <c r="K271" s="398" t="s">
        <v>100</v>
      </c>
      <c r="L271" s="398">
        <f>J271</f>
        <v>50.959999999999994</v>
      </c>
      <c r="M271" s="398" t="s">
        <v>100</v>
      </c>
      <c r="N271" s="397">
        <f>SUM(J271:M271)</f>
        <v>101.91999999999999</v>
      </c>
    </row>
    <row r="272" spans="1:14">
      <c r="A272" s="811"/>
      <c r="B272" s="811"/>
      <c r="C272" s="811"/>
      <c r="D272" s="815"/>
      <c r="E272" s="815"/>
      <c r="F272" s="815"/>
      <c r="G272" s="815"/>
      <c r="H272" s="815"/>
      <c r="I272" s="815"/>
      <c r="J272" s="815"/>
      <c r="K272" s="815"/>
      <c r="L272" s="815"/>
      <c r="M272" s="815"/>
      <c r="N272" s="815"/>
    </row>
    <row r="273" spans="1:14" ht="15.75">
      <c r="A273" s="811"/>
      <c r="B273" s="811"/>
      <c r="C273" s="815"/>
      <c r="D273" s="815"/>
      <c r="E273" s="815"/>
      <c r="F273" s="815"/>
      <c r="G273" s="815"/>
      <c r="H273" s="393" t="s">
        <v>2063</v>
      </c>
      <c r="I273" s="397">
        <f>SUM(I269:I271)</f>
        <v>55.579999999999991</v>
      </c>
      <c r="J273" s="815"/>
      <c r="K273" s="815"/>
      <c r="L273" s="815"/>
      <c r="M273" s="393" t="s">
        <v>2091</v>
      </c>
      <c r="N273" s="397">
        <f>SUM(N269:N271)</f>
        <v>111.15999999999998</v>
      </c>
    </row>
    <row r="274" spans="1:14" ht="15.75">
      <c r="A274" s="811"/>
      <c r="B274" s="811"/>
      <c r="C274" s="811"/>
      <c r="D274" s="811"/>
      <c r="E274" s="811"/>
      <c r="F274" s="811"/>
      <c r="G274" s="811"/>
      <c r="H274" s="811"/>
      <c r="I274" s="811"/>
      <c r="J274" s="811"/>
      <c r="K274" s="811"/>
      <c r="L274" s="811"/>
      <c r="M274" s="811"/>
      <c r="N274" s="811"/>
    </row>
    <row r="275" spans="1:14" ht="78.75">
      <c r="A275" s="811"/>
      <c r="B275" s="811" t="s">
        <v>2096</v>
      </c>
      <c r="C275" s="3" t="s">
        <v>100</v>
      </c>
      <c r="D275" s="393" t="s">
        <v>100</v>
      </c>
      <c r="E275" s="393" t="s">
        <v>2062</v>
      </c>
      <c r="F275" s="393" t="s">
        <v>2061</v>
      </c>
      <c r="G275" s="393" t="s">
        <v>2060</v>
      </c>
      <c r="H275" s="393" t="s">
        <v>2059</v>
      </c>
      <c r="I275" s="393" t="s">
        <v>2054</v>
      </c>
      <c r="J275" s="394" t="s">
        <v>2058</v>
      </c>
      <c r="K275" s="394" t="s">
        <v>2057</v>
      </c>
      <c r="L275" s="394" t="s">
        <v>2056</v>
      </c>
      <c r="M275" s="394" t="s">
        <v>2055</v>
      </c>
      <c r="N275" s="394" t="s">
        <v>2054</v>
      </c>
    </row>
    <row r="276" spans="1:14">
      <c r="A276" s="811"/>
      <c r="B276" s="811"/>
      <c r="C276" s="398" t="s">
        <v>1351</v>
      </c>
      <c r="D276" s="398"/>
      <c r="E276" s="398">
        <v>1.6</v>
      </c>
      <c r="F276" s="398">
        <v>0.9</v>
      </c>
      <c r="G276" s="397">
        <f>E276*F276</f>
        <v>1.4400000000000002</v>
      </c>
      <c r="H276" s="398">
        <v>2</v>
      </c>
      <c r="I276" s="397">
        <f>G276*H276</f>
        <v>2.8800000000000003</v>
      </c>
      <c r="J276" s="398">
        <f>I276</f>
        <v>2.8800000000000003</v>
      </c>
      <c r="K276" s="398">
        <f>I276</f>
        <v>2.8800000000000003</v>
      </c>
      <c r="L276" s="398" t="s">
        <v>100</v>
      </c>
      <c r="M276" s="398" t="s">
        <v>100</v>
      </c>
      <c r="N276" s="397">
        <f>SUM(J276:M276)</f>
        <v>5.7600000000000007</v>
      </c>
    </row>
    <row r="277" spans="1:14">
      <c r="A277" s="811"/>
      <c r="B277" s="811"/>
      <c r="C277" s="398" t="s">
        <v>1352</v>
      </c>
      <c r="D277" s="398"/>
      <c r="E277" s="398">
        <v>3.2</v>
      </c>
      <c r="F277" s="398">
        <v>1.8</v>
      </c>
      <c r="G277" s="397">
        <f>E277*F277</f>
        <v>5.7600000000000007</v>
      </c>
      <c r="H277" s="398">
        <v>16</v>
      </c>
      <c r="I277" s="397">
        <f>G277*H277</f>
        <v>92.160000000000011</v>
      </c>
      <c r="J277" s="398">
        <f>I277</f>
        <v>92.160000000000011</v>
      </c>
      <c r="K277" s="398">
        <f>I277</f>
        <v>92.160000000000011</v>
      </c>
      <c r="L277" s="398" t="s">
        <v>100</v>
      </c>
      <c r="M277" s="398" t="s">
        <v>100</v>
      </c>
      <c r="N277" s="397">
        <f>SUM(J277:M277)</f>
        <v>184.32000000000002</v>
      </c>
    </row>
    <row r="278" spans="1:14">
      <c r="A278" s="811"/>
      <c r="B278" s="811"/>
      <c r="C278" s="398" t="s">
        <v>1353</v>
      </c>
      <c r="D278" s="398"/>
      <c r="E278" s="398">
        <v>4</v>
      </c>
      <c r="F278" s="398">
        <v>0.75</v>
      </c>
      <c r="G278" s="397">
        <f>E278*F278</f>
        <v>3</v>
      </c>
      <c r="H278" s="398">
        <v>1</v>
      </c>
      <c r="I278" s="397">
        <f>G278*H278</f>
        <v>3</v>
      </c>
      <c r="J278" s="398">
        <f>I278</f>
        <v>3</v>
      </c>
      <c r="K278" s="398">
        <f>I278</f>
        <v>3</v>
      </c>
      <c r="L278" s="398" t="s">
        <v>100</v>
      </c>
      <c r="M278" s="398" t="s">
        <v>100</v>
      </c>
      <c r="N278" s="397">
        <f>SUM(J278:M278)</f>
        <v>6</v>
      </c>
    </row>
    <row r="279" spans="1:14">
      <c r="A279" s="811"/>
      <c r="B279" s="811"/>
      <c r="C279" s="398" t="s">
        <v>1354</v>
      </c>
      <c r="D279" s="398"/>
      <c r="E279" s="398">
        <v>1.6</v>
      </c>
      <c r="F279" s="398">
        <v>0.9</v>
      </c>
      <c r="G279" s="397">
        <f>E279*F279</f>
        <v>1.4400000000000002</v>
      </c>
      <c r="H279" s="398">
        <v>8</v>
      </c>
      <c r="I279" s="397">
        <f>G279*H279</f>
        <v>11.520000000000001</v>
      </c>
      <c r="J279" s="398">
        <f>I279</f>
        <v>11.520000000000001</v>
      </c>
      <c r="K279" s="398">
        <f>I279</f>
        <v>11.520000000000001</v>
      </c>
      <c r="L279" s="398" t="s">
        <v>100</v>
      </c>
      <c r="M279" s="398" t="s">
        <v>100</v>
      </c>
      <c r="N279" s="397">
        <f>SUM(J279:M279)</f>
        <v>23.040000000000003</v>
      </c>
    </row>
    <row r="280" spans="1:14">
      <c r="A280" s="811"/>
      <c r="B280" s="811"/>
      <c r="C280" s="815"/>
      <c r="D280" s="815"/>
      <c r="E280" s="815"/>
      <c r="F280" s="815"/>
      <c r="G280" s="815"/>
      <c r="H280" s="815"/>
      <c r="I280" s="815"/>
      <c r="J280" s="815"/>
      <c r="K280" s="815"/>
      <c r="L280" s="815"/>
      <c r="M280" s="815"/>
    </row>
    <row r="281" spans="1:14" ht="15.75">
      <c r="A281" s="811"/>
      <c r="B281" s="811"/>
      <c r="C281" s="815"/>
      <c r="D281" s="815"/>
      <c r="E281" s="815"/>
      <c r="F281" s="815"/>
      <c r="G281" s="401"/>
      <c r="H281" s="401" t="s">
        <v>2063</v>
      </c>
      <c r="I281" s="397">
        <f>SUM(I276:I279)</f>
        <v>109.56</v>
      </c>
      <c r="J281" s="404"/>
      <c r="K281" s="404"/>
      <c r="L281" s="401"/>
      <c r="M281" s="401" t="s">
        <v>2063</v>
      </c>
      <c r="N281" s="397">
        <f>SUM(N276:N279)</f>
        <v>219.12</v>
      </c>
    </row>
    <row r="282" spans="1:14" ht="15.75">
      <c r="B282" s="400"/>
      <c r="C282" s="398"/>
    </row>
    <row r="283" spans="1:14" ht="78.75">
      <c r="B283" s="810" t="s">
        <v>2063</v>
      </c>
      <c r="C283" s="810"/>
      <c r="D283" s="396" t="s">
        <v>100</v>
      </c>
      <c r="E283" s="396" t="s">
        <v>2062</v>
      </c>
      <c r="F283" s="396" t="s">
        <v>2061</v>
      </c>
      <c r="G283" s="396" t="s">
        <v>2060</v>
      </c>
      <c r="H283" s="396" t="s">
        <v>2059</v>
      </c>
      <c r="I283" s="396" t="s">
        <v>2054</v>
      </c>
      <c r="J283" s="395" t="s">
        <v>2058</v>
      </c>
      <c r="K283" s="395" t="s">
        <v>2057</v>
      </c>
      <c r="L283" s="395" t="s">
        <v>2056</v>
      </c>
      <c r="M283" s="395" t="s">
        <v>2055</v>
      </c>
      <c r="N283" s="395" t="s">
        <v>2054</v>
      </c>
    </row>
    <row r="284" spans="1:14">
      <c r="B284" s="810"/>
      <c r="C284" s="810"/>
      <c r="D284" s="392"/>
      <c r="E284" s="391"/>
      <c r="F284" s="391"/>
      <c r="G284" s="391"/>
      <c r="H284" s="391">
        <f>SUM(G223:G228,H233:H236,H241:H243,H248:H250,H255:H257,H262:H264,H269:H271,H276:H279)</f>
        <v>243</v>
      </c>
      <c r="I284" s="391">
        <f>SUM(H230,I238,I245,I252,I259,I266,I273,I281)</f>
        <v>548.54</v>
      </c>
      <c r="J284" s="391">
        <f>SUM(J223:J228,J233:J236,J241:J243,J248:J250,J255:J257,J262:J264,J269:J271,J276:J279)</f>
        <v>549.79999999999984</v>
      </c>
      <c r="K284" s="391">
        <f>SUM(J223:J228,K233:K236,K241:K243,K248:K250,K255:K257,K262:K264,K269:K271,K276:K279)</f>
        <v>324.95999999999998</v>
      </c>
      <c r="L284" s="391">
        <f>SUM(K223:K228,L233:L236,L241:L243,L248:L250,L255:L257,L262:L264,L269:L271,L276:L279)</f>
        <v>222.32</v>
      </c>
      <c r="M284" s="391">
        <f>SUM(L223:L228,M233:M236,M241:M243,M248:M250,M255:M257,M262:M264,M269:M271,M276:M279)</f>
        <v>0</v>
      </c>
      <c r="N284" s="391">
        <f>SUM(M230,N238,N245,N252,N259,N266,N273,N281)</f>
        <v>1097.08</v>
      </c>
    </row>
    <row r="289" spans="1:15" ht="22.5">
      <c r="A289" s="819" t="s">
        <v>2138</v>
      </c>
      <c r="B289" s="820"/>
      <c r="C289" s="820"/>
      <c r="D289" s="820"/>
      <c r="E289" s="820"/>
      <c r="F289" s="820"/>
      <c r="G289" s="820"/>
      <c r="H289" s="820"/>
      <c r="I289" s="820"/>
      <c r="J289" s="820"/>
      <c r="K289" s="820"/>
      <c r="L289" s="820"/>
      <c r="M289" s="820"/>
      <c r="N289" s="820"/>
      <c r="O289" s="820"/>
    </row>
    <row r="290" spans="1:15" ht="78.75">
      <c r="A290" s="811" t="s">
        <v>2089</v>
      </c>
      <c r="B290" s="811" t="s">
        <v>1426</v>
      </c>
      <c r="C290" s="811"/>
      <c r="D290" s="811" t="s">
        <v>394</v>
      </c>
      <c r="E290" s="393" t="s">
        <v>100</v>
      </c>
      <c r="F290" s="393" t="s">
        <v>2062</v>
      </c>
      <c r="G290" s="393" t="s">
        <v>2061</v>
      </c>
      <c r="H290" s="393" t="s">
        <v>2060</v>
      </c>
      <c r="I290" s="393" t="s">
        <v>2059</v>
      </c>
      <c r="J290" s="393" t="s">
        <v>2054</v>
      </c>
      <c r="K290" s="394" t="s">
        <v>2058</v>
      </c>
      <c r="L290" s="394" t="s">
        <v>2057</v>
      </c>
      <c r="M290" s="394" t="s">
        <v>2056</v>
      </c>
      <c r="N290" s="394" t="s">
        <v>2055</v>
      </c>
      <c r="O290" s="394" t="s">
        <v>2054</v>
      </c>
    </row>
    <row r="291" spans="1:15">
      <c r="A291" s="811"/>
      <c r="B291" s="811"/>
      <c r="C291" s="811"/>
      <c r="D291" s="811"/>
      <c r="E291" s="397" t="s">
        <v>1352</v>
      </c>
      <c r="F291" s="397">
        <v>1.5</v>
      </c>
      <c r="G291" s="397">
        <v>0.6</v>
      </c>
      <c r="H291" s="397">
        <f>F291*G291</f>
        <v>0.89999999999999991</v>
      </c>
      <c r="I291" s="397">
        <v>3</v>
      </c>
      <c r="J291" s="397">
        <f>H291*I291</f>
        <v>2.6999999999999997</v>
      </c>
      <c r="K291" s="397">
        <f>J291</f>
        <v>2.6999999999999997</v>
      </c>
      <c r="L291" s="397">
        <f>J291</f>
        <v>2.6999999999999997</v>
      </c>
      <c r="M291" s="397" t="s">
        <v>100</v>
      </c>
      <c r="N291" s="397" t="s">
        <v>100</v>
      </c>
      <c r="O291" s="397">
        <f>SUM(K291:N291)</f>
        <v>5.3999999999999995</v>
      </c>
    </row>
    <row r="292" spans="1:15">
      <c r="A292" s="811"/>
      <c r="B292" s="811"/>
      <c r="C292" s="811"/>
      <c r="D292" s="811"/>
      <c r="E292" s="397" t="s">
        <v>1354</v>
      </c>
      <c r="F292" s="397">
        <v>1.5</v>
      </c>
      <c r="G292" s="397">
        <v>0.6</v>
      </c>
      <c r="H292" s="397">
        <f>F292*G292</f>
        <v>0.89999999999999991</v>
      </c>
      <c r="I292" s="397">
        <v>25</v>
      </c>
      <c r="J292" s="397">
        <f>H292*I292</f>
        <v>22.499999999999996</v>
      </c>
      <c r="K292" s="397">
        <f>J292</f>
        <v>22.499999999999996</v>
      </c>
      <c r="L292" s="397">
        <f>J292</f>
        <v>22.499999999999996</v>
      </c>
      <c r="M292" s="397" t="s">
        <v>100</v>
      </c>
      <c r="N292" s="397" t="s">
        <v>100</v>
      </c>
      <c r="O292" s="397">
        <f>SUM(K292:N292)</f>
        <v>44.999999999999993</v>
      </c>
    </row>
    <row r="293" spans="1:15" ht="15.75">
      <c r="A293" s="811"/>
      <c r="B293" s="811"/>
      <c r="C293" s="811"/>
      <c r="D293" s="811"/>
      <c r="E293" s="811"/>
      <c r="F293" s="811"/>
      <c r="G293" s="811"/>
      <c r="H293" s="811"/>
      <c r="I293" s="393" t="s">
        <v>2063</v>
      </c>
      <c r="J293" s="397">
        <f>SUM(J291:J292)</f>
        <v>25.199999999999996</v>
      </c>
      <c r="K293" s="815"/>
      <c r="L293" s="815"/>
      <c r="M293" s="815"/>
      <c r="N293" s="393" t="s">
        <v>2063</v>
      </c>
      <c r="O293" s="397">
        <f>SUM(O291:O292)</f>
        <v>50.399999999999991</v>
      </c>
    </row>
    <row r="294" spans="1:15" ht="15.75">
      <c r="A294" s="811"/>
      <c r="B294" s="811"/>
      <c r="C294" s="811"/>
      <c r="D294" s="811"/>
      <c r="E294" s="811"/>
      <c r="F294" s="811"/>
      <c r="G294" s="811"/>
      <c r="H294" s="811"/>
      <c r="I294" s="811"/>
      <c r="J294" s="811"/>
      <c r="K294" s="811"/>
      <c r="L294" s="811"/>
      <c r="M294" s="811"/>
      <c r="N294" s="811"/>
      <c r="O294" s="811"/>
    </row>
    <row r="295" spans="1:15" ht="78.75">
      <c r="A295" s="811"/>
      <c r="B295" s="811"/>
      <c r="C295" s="811"/>
      <c r="D295" s="811" t="s">
        <v>219</v>
      </c>
      <c r="E295" s="393" t="s">
        <v>100</v>
      </c>
      <c r="F295" s="393" t="s">
        <v>2062</v>
      </c>
      <c r="G295" s="393" t="s">
        <v>2061</v>
      </c>
      <c r="H295" s="393" t="s">
        <v>2060</v>
      </c>
      <c r="I295" s="393" t="s">
        <v>2059</v>
      </c>
      <c r="J295" s="393" t="s">
        <v>2054</v>
      </c>
      <c r="K295" s="394" t="s">
        <v>2058</v>
      </c>
      <c r="L295" s="394" t="s">
        <v>2057</v>
      </c>
      <c r="M295" s="394" t="s">
        <v>2056</v>
      </c>
      <c r="N295" s="394" t="s">
        <v>2055</v>
      </c>
      <c r="O295" s="394" t="s">
        <v>2054</v>
      </c>
    </row>
    <row r="296" spans="1:15">
      <c r="A296" s="811"/>
      <c r="B296" s="811"/>
      <c r="C296" s="811"/>
      <c r="D296" s="811"/>
      <c r="E296" s="397" t="s">
        <v>1351</v>
      </c>
      <c r="F296" s="397">
        <v>1.5</v>
      </c>
      <c r="G296" s="397">
        <v>0.6</v>
      </c>
      <c r="H296" s="397">
        <f>F296*G296</f>
        <v>0.89999999999999991</v>
      </c>
      <c r="I296" s="397">
        <v>2</v>
      </c>
      <c r="J296" s="397">
        <f>H296*I296</f>
        <v>1.7999999999999998</v>
      </c>
      <c r="K296" s="397">
        <f>J296</f>
        <v>1.7999999999999998</v>
      </c>
      <c r="L296" s="397">
        <f>J296</f>
        <v>1.7999999999999998</v>
      </c>
      <c r="M296" s="397" t="s">
        <v>100</v>
      </c>
      <c r="N296" s="397" t="s">
        <v>100</v>
      </c>
      <c r="O296" s="397">
        <f>SUM(K296:K296:N296)</f>
        <v>3.5999999999999996</v>
      </c>
    </row>
    <row r="297" spans="1:15">
      <c r="A297" s="811"/>
      <c r="B297" s="811"/>
      <c r="C297" s="811"/>
      <c r="D297" s="811"/>
      <c r="E297" s="397" t="s">
        <v>1352</v>
      </c>
      <c r="F297" s="397">
        <v>1.5</v>
      </c>
      <c r="G297" s="397">
        <v>0.6</v>
      </c>
      <c r="H297" s="397">
        <f>F297*G297</f>
        <v>0.89999999999999991</v>
      </c>
      <c r="I297" s="397">
        <v>3</v>
      </c>
      <c r="J297" s="397">
        <f>H297*I297</f>
        <v>2.6999999999999997</v>
      </c>
      <c r="K297" s="397">
        <f>J297</f>
        <v>2.6999999999999997</v>
      </c>
      <c r="L297" s="397">
        <f>J297</f>
        <v>2.6999999999999997</v>
      </c>
      <c r="M297" s="397" t="s">
        <v>100</v>
      </c>
      <c r="N297" s="397" t="s">
        <v>100</v>
      </c>
      <c r="O297" s="397">
        <f>SUM(K297:N297)</f>
        <v>5.3999999999999995</v>
      </c>
    </row>
    <row r="298" spans="1:15">
      <c r="A298" s="811"/>
      <c r="B298" s="811"/>
      <c r="C298" s="811"/>
      <c r="D298" s="811"/>
      <c r="E298" s="397" t="s">
        <v>1353</v>
      </c>
      <c r="F298" s="397">
        <v>1.4</v>
      </c>
      <c r="G298" s="397">
        <v>1.4</v>
      </c>
      <c r="H298" s="397">
        <f>F298*G298</f>
        <v>1.9599999999999997</v>
      </c>
      <c r="I298" s="397">
        <v>25</v>
      </c>
      <c r="J298" s="397">
        <f>H298*I298</f>
        <v>48.999999999999993</v>
      </c>
      <c r="K298" s="397">
        <f>J298</f>
        <v>48.999999999999993</v>
      </c>
      <c r="L298" s="397">
        <f>J298</f>
        <v>48.999999999999993</v>
      </c>
      <c r="M298" s="397" t="s">
        <v>100</v>
      </c>
      <c r="N298" s="397" t="s">
        <v>100</v>
      </c>
      <c r="O298" s="397">
        <f>SUM(K298:N298)</f>
        <v>97.999999999999986</v>
      </c>
    </row>
    <row r="299" spans="1:15" ht="15.75">
      <c r="A299" s="811"/>
      <c r="B299" s="811"/>
      <c r="C299" s="811"/>
      <c r="D299" s="811"/>
      <c r="E299" s="811"/>
      <c r="F299" s="811"/>
      <c r="G299" s="811"/>
      <c r="H299" s="811"/>
      <c r="I299" s="393" t="s">
        <v>2063</v>
      </c>
      <c r="J299" s="397">
        <f>SUM(J296:J298)</f>
        <v>53.499999999999993</v>
      </c>
      <c r="K299" s="815"/>
      <c r="L299" s="815"/>
      <c r="M299" s="815"/>
      <c r="N299" s="393" t="s">
        <v>2063</v>
      </c>
      <c r="O299" s="397">
        <f>SUM(O296:O298)</f>
        <v>106.99999999999999</v>
      </c>
    </row>
    <row r="300" spans="1:15" ht="15.75">
      <c r="A300" s="811"/>
      <c r="B300" s="811"/>
      <c r="C300" s="811"/>
      <c r="D300" s="811"/>
      <c r="E300" s="811"/>
      <c r="F300" s="811"/>
      <c r="G300" s="811"/>
      <c r="H300" s="811"/>
      <c r="I300" s="811"/>
      <c r="J300" s="811"/>
      <c r="K300" s="811"/>
      <c r="L300" s="811"/>
      <c r="M300" s="811"/>
      <c r="N300" s="811"/>
      <c r="O300" s="811"/>
    </row>
    <row r="301" spans="1:15" ht="78.75">
      <c r="A301" s="811"/>
      <c r="B301" s="811"/>
      <c r="C301" s="811"/>
      <c r="D301" s="811" t="s">
        <v>2088</v>
      </c>
      <c r="E301" s="393" t="s">
        <v>100</v>
      </c>
      <c r="F301" s="393" t="s">
        <v>2062</v>
      </c>
      <c r="G301" s="393" t="s">
        <v>2061</v>
      </c>
      <c r="H301" s="393" t="s">
        <v>2060</v>
      </c>
      <c r="I301" s="393" t="s">
        <v>2059</v>
      </c>
      <c r="J301" s="393" t="s">
        <v>2054</v>
      </c>
      <c r="K301" s="394" t="s">
        <v>2058</v>
      </c>
      <c r="L301" s="394" t="s">
        <v>2057</v>
      </c>
      <c r="M301" s="394" t="s">
        <v>2056</v>
      </c>
      <c r="N301" s="394" t="s">
        <v>2055</v>
      </c>
      <c r="O301" s="394" t="s">
        <v>2054</v>
      </c>
    </row>
    <row r="302" spans="1:15">
      <c r="A302" s="811"/>
      <c r="B302" s="811"/>
      <c r="C302" s="811"/>
      <c r="D302" s="811"/>
      <c r="E302" s="397" t="s">
        <v>1351</v>
      </c>
      <c r="F302" s="397">
        <v>1.5</v>
      </c>
      <c r="G302" s="397">
        <v>0.6</v>
      </c>
      <c r="H302" s="397">
        <f>F302*G302</f>
        <v>0.89999999999999991</v>
      </c>
      <c r="I302" s="397">
        <v>2</v>
      </c>
      <c r="J302" s="397">
        <f>H302*I302</f>
        <v>1.7999999999999998</v>
      </c>
      <c r="K302" s="397">
        <f>J302</f>
        <v>1.7999999999999998</v>
      </c>
      <c r="L302" s="397" t="s">
        <v>100</v>
      </c>
      <c r="M302" s="397">
        <f>J302</f>
        <v>1.7999999999999998</v>
      </c>
      <c r="N302" s="397" t="s">
        <v>100</v>
      </c>
      <c r="O302" s="397">
        <f>SUM(K302:N302)</f>
        <v>3.5999999999999996</v>
      </c>
    </row>
    <row r="303" spans="1:15">
      <c r="A303" s="811"/>
      <c r="B303" s="811"/>
      <c r="C303" s="811"/>
      <c r="D303" s="811"/>
      <c r="E303" s="397" t="s">
        <v>1352</v>
      </c>
      <c r="F303" s="397">
        <v>1.5</v>
      </c>
      <c r="G303" s="397">
        <v>0.6</v>
      </c>
      <c r="H303" s="397">
        <f>F303*G303</f>
        <v>0.89999999999999991</v>
      </c>
      <c r="I303" s="397">
        <v>3</v>
      </c>
      <c r="J303" s="397">
        <f>H303*I303</f>
        <v>2.6999999999999997</v>
      </c>
      <c r="K303" s="397">
        <f>J303</f>
        <v>2.6999999999999997</v>
      </c>
      <c r="L303" s="397" t="s">
        <v>100</v>
      </c>
      <c r="M303" s="397">
        <f>J303</f>
        <v>2.6999999999999997</v>
      </c>
      <c r="N303" s="397" t="s">
        <v>100</v>
      </c>
      <c r="O303" s="397">
        <f>SUM(K303:N303)</f>
        <v>5.3999999999999995</v>
      </c>
    </row>
    <row r="304" spans="1:15">
      <c r="A304" s="811"/>
      <c r="B304" s="811"/>
      <c r="C304" s="811"/>
      <c r="D304" s="811"/>
      <c r="E304" s="397" t="s">
        <v>1353</v>
      </c>
      <c r="F304" s="397">
        <v>1.4</v>
      </c>
      <c r="G304" s="397">
        <v>1.4</v>
      </c>
      <c r="H304" s="397">
        <f>F304*G304</f>
        <v>1.9599999999999997</v>
      </c>
      <c r="I304" s="397">
        <v>25</v>
      </c>
      <c r="J304" s="397">
        <f>H304*I304</f>
        <v>48.999999999999993</v>
      </c>
      <c r="K304" s="397">
        <f>J304</f>
        <v>48.999999999999993</v>
      </c>
      <c r="L304" s="397" t="s">
        <v>100</v>
      </c>
      <c r="M304" s="397">
        <f>J304</f>
        <v>48.999999999999993</v>
      </c>
      <c r="N304" s="397" t="s">
        <v>100</v>
      </c>
      <c r="O304" s="397">
        <f>SUM(K304:N304)</f>
        <v>97.999999999999986</v>
      </c>
    </row>
    <row r="305" spans="1:15">
      <c r="A305" s="811"/>
      <c r="B305" s="811"/>
      <c r="C305" s="811"/>
      <c r="D305" s="811"/>
      <c r="E305" s="397" t="s">
        <v>1354</v>
      </c>
      <c r="F305" s="397">
        <v>1.4</v>
      </c>
      <c r="G305" s="397">
        <v>1.4</v>
      </c>
      <c r="H305" s="397">
        <f>F305*G305</f>
        <v>1.9599999999999997</v>
      </c>
      <c r="I305" s="397">
        <v>2</v>
      </c>
      <c r="J305" s="397">
        <f>H305*I305</f>
        <v>3.9199999999999995</v>
      </c>
      <c r="K305" s="397">
        <f>J305</f>
        <v>3.9199999999999995</v>
      </c>
      <c r="L305" s="397" t="s">
        <v>100</v>
      </c>
      <c r="M305" s="397">
        <f>J305</f>
        <v>3.9199999999999995</v>
      </c>
      <c r="N305" s="397" t="s">
        <v>100</v>
      </c>
      <c r="O305" s="397">
        <f>SUM(K305:N305)</f>
        <v>7.839999999999999</v>
      </c>
    </row>
    <row r="306" spans="1:15" ht="15.75">
      <c r="A306" s="811"/>
      <c r="B306" s="811"/>
      <c r="C306" s="811"/>
      <c r="D306" s="811"/>
      <c r="E306" s="811"/>
      <c r="F306" s="811"/>
      <c r="G306" s="811"/>
      <c r="H306" s="811"/>
      <c r="I306" s="393" t="s">
        <v>2063</v>
      </c>
      <c r="J306" s="397">
        <f>SUM(J302:J305)</f>
        <v>57.419999999999995</v>
      </c>
      <c r="K306" s="815"/>
      <c r="L306" s="815"/>
      <c r="M306" s="815"/>
      <c r="N306" s="393" t="s">
        <v>2063</v>
      </c>
      <c r="O306" s="397">
        <f>SUM(O302:O305)</f>
        <v>114.83999999999999</v>
      </c>
    </row>
    <row r="307" spans="1:15" ht="15.75">
      <c r="A307" s="811"/>
      <c r="B307" s="811"/>
      <c r="C307" s="811"/>
      <c r="D307" s="811"/>
      <c r="E307" s="811"/>
      <c r="F307" s="811"/>
      <c r="G307" s="811"/>
      <c r="H307" s="811"/>
      <c r="I307" s="811"/>
      <c r="J307" s="811"/>
      <c r="K307" s="811"/>
      <c r="L307" s="811"/>
      <c r="M307" s="811"/>
      <c r="N307" s="811"/>
      <c r="O307" s="811"/>
    </row>
    <row r="308" spans="1:15" ht="78.75">
      <c r="A308" s="811"/>
      <c r="B308" s="811"/>
      <c r="C308" s="811"/>
      <c r="D308" s="811" t="s">
        <v>2087</v>
      </c>
      <c r="E308" s="393" t="s">
        <v>100</v>
      </c>
      <c r="F308" s="393" t="s">
        <v>2062</v>
      </c>
      <c r="G308" s="393" t="s">
        <v>2061</v>
      </c>
      <c r="H308" s="393" t="s">
        <v>2060</v>
      </c>
      <c r="I308" s="393" t="s">
        <v>2059</v>
      </c>
      <c r="J308" s="393" t="s">
        <v>2054</v>
      </c>
      <c r="K308" s="394" t="s">
        <v>2058</v>
      </c>
      <c r="L308" s="394" t="s">
        <v>2057</v>
      </c>
      <c r="M308" s="394" t="s">
        <v>2056</v>
      </c>
      <c r="N308" s="394" t="s">
        <v>2055</v>
      </c>
      <c r="O308" s="394" t="s">
        <v>2054</v>
      </c>
    </row>
    <row r="309" spans="1:15">
      <c r="A309" s="811"/>
      <c r="B309" s="811"/>
      <c r="C309" s="811"/>
      <c r="D309" s="811"/>
      <c r="E309" s="397" t="s">
        <v>1351</v>
      </c>
      <c r="F309" s="397">
        <v>1.5</v>
      </c>
      <c r="G309" s="397">
        <v>0.6</v>
      </c>
      <c r="H309" s="397">
        <f>F309*G309</f>
        <v>0.89999999999999991</v>
      </c>
      <c r="I309" s="397">
        <v>2</v>
      </c>
      <c r="J309" s="397">
        <f>H309*I309</f>
        <v>1.7999999999999998</v>
      </c>
      <c r="K309" s="397">
        <f>J309</f>
        <v>1.7999999999999998</v>
      </c>
      <c r="L309" s="397" t="s">
        <v>100</v>
      </c>
      <c r="M309" s="397">
        <f>J309</f>
        <v>1.7999999999999998</v>
      </c>
      <c r="N309" s="397" t="s">
        <v>100</v>
      </c>
      <c r="O309" s="397">
        <f>SUM(K309:N309)</f>
        <v>3.5999999999999996</v>
      </c>
    </row>
    <row r="310" spans="1:15">
      <c r="A310" s="811"/>
      <c r="B310" s="811"/>
      <c r="C310" s="811"/>
      <c r="D310" s="811"/>
      <c r="E310" s="397" t="s">
        <v>1352</v>
      </c>
      <c r="F310" s="397">
        <v>1.5</v>
      </c>
      <c r="G310" s="397">
        <v>0.6</v>
      </c>
      <c r="H310" s="397">
        <f>F310*G310</f>
        <v>0.89999999999999991</v>
      </c>
      <c r="I310" s="397">
        <v>3</v>
      </c>
      <c r="J310" s="397">
        <f>H310*I310</f>
        <v>2.6999999999999997</v>
      </c>
      <c r="K310" s="397">
        <f>J310</f>
        <v>2.6999999999999997</v>
      </c>
      <c r="L310" s="397" t="s">
        <v>100</v>
      </c>
      <c r="M310" s="397">
        <f>J310</f>
        <v>2.6999999999999997</v>
      </c>
      <c r="N310" s="397" t="s">
        <v>100</v>
      </c>
      <c r="O310" s="397">
        <f>SUM(K310:N310)</f>
        <v>5.3999999999999995</v>
      </c>
    </row>
    <row r="311" spans="1:15">
      <c r="A311" s="811"/>
      <c r="B311" s="811"/>
      <c r="C311" s="811"/>
      <c r="D311" s="811"/>
      <c r="E311" s="397" t="s">
        <v>1353</v>
      </c>
      <c r="F311" s="397">
        <v>1.4</v>
      </c>
      <c r="G311" s="397">
        <v>1.4</v>
      </c>
      <c r="H311" s="397">
        <f>F311*G311</f>
        <v>1.9599999999999997</v>
      </c>
      <c r="I311" s="397">
        <v>25</v>
      </c>
      <c r="J311" s="397">
        <f>H311*I311</f>
        <v>48.999999999999993</v>
      </c>
      <c r="K311" s="397">
        <f>J311</f>
        <v>48.999999999999993</v>
      </c>
      <c r="L311" s="397" t="s">
        <v>100</v>
      </c>
      <c r="M311" s="397">
        <f>J311</f>
        <v>48.999999999999993</v>
      </c>
      <c r="N311" s="397" t="s">
        <v>100</v>
      </c>
      <c r="O311" s="397">
        <f>SUM(K311:N311)</f>
        <v>97.999999999999986</v>
      </c>
    </row>
    <row r="312" spans="1:15">
      <c r="A312" s="811"/>
      <c r="B312" s="811"/>
      <c r="C312" s="811"/>
      <c r="D312" s="811"/>
      <c r="E312" s="397" t="s">
        <v>1354</v>
      </c>
      <c r="F312" s="397">
        <v>1.4</v>
      </c>
      <c r="G312" s="397">
        <v>1.4</v>
      </c>
      <c r="H312" s="397">
        <f>F312*G312</f>
        <v>1.9599999999999997</v>
      </c>
      <c r="I312" s="397">
        <v>2</v>
      </c>
      <c r="J312" s="397">
        <f>H312*I312</f>
        <v>3.9199999999999995</v>
      </c>
      <c r="K312" s="397">
        <f>J312</f>
        <v>3.9199999999999995</v>
      </c>
      <c r="L312" s="397" t="s">
        <v>100</v>
      </c>
      <c r="M312" s="397">
        <f>J312</f>
        <v>3.9199999999999995</v>
      </c>
      <c r="N312" s="397" t="s">
        <v>100</v>
      </c>
      <c r="O312" s="397">
        <f>SUM(K312:N312)</f>
        <v>7.839999999999999</v>
      </c>
    </row>
    <row r="313" spans="1:15" ht="15.75">
      <c r="A313" s="811"/>
      <c r="B313" s="811"/>
      <c r="C313" s="811"/>
      <c r="D313" s="811"/>
      <c r="E313" s="811"/>
      <c r="F313" s="811"/>
      <c r="G313" s="811"/>
      <c r="H313" s="811"/>
      <c r="I313" s="393" t="s">
        <v>2063</v>
      </c>
      <c r="J313" s="397">
        <f>SUM(J309:J312)</f>
        <v>57.419999999999995</v>
      </c>
      <c r="K313" s="815"/>
      <c r="L313" s="815"/>
      <c r="M313" s="815"/>
      <c r="N313" s="393" t="s">
        <v>2063</v>
      </c>
      <c r="O313" s="397">
        <f>SUM(O309:O312)</f>
        <v>114.83999999999999</v>
      </c>
    </row>
    <row r="314" spans="1:15" ht="15.75">
      <c r="A314" s="811"/>
      <c r="B314" s="811"/>
      <c r="C314" s="811"/>
      <c r="D314" s="811"/>
      <c r="E314" s="811"/>
      <c r="F314" s="811"/>
      <c r="G314" s="811"/>
      <c r="H314" s="811"/>
      <c r="I314" s="811"/>
      <c r="J314" s="811"/>
      <c r="K314" s="811"/>
      <c r="L314" s="811"/>
      <c r="M314" s="811"/>
      <c r="N314" s="811"/>
      <c r="O314" s="811"/>
    </row>
    <row r="315" spans="1:15" ht="78.75">
      <c r="A315" s="811"/>
      <c r="B315" s="811"/>
      <c r="C315" s="811"/>
      <c r="D315" s="811" t="s">
        <v>2086</v>
      </c>
      <c r="E315" s="393" t="s">
        <v>100</v>
      </c>
      <c r="F315" s="393" t="s">
        <v>2062</v>
      </c>
      <c r="G315" s="393" t="s">
        <v>2061</v>
      </c>
      <c r="H315" s="393" t="s">
        <v>2060</v>
      </c>
      <c r="I315" s="393" t="s">
        <v>2059</v>
      </c>
      <c r="J315" s="393" t="s">
        <v>2054</v>
      </c>
      <c r="K315" s="394" t="s">
        <v>2058</v>
      </c>
      <c r="L315" s="394" t="s">
        <v>2057</v>
      </c>
      <c r="M315" s="394" t="s">
        <v>2056</v>
      </c>
      <c r="N315" s="394" t="s">
        <v>2055</v>
      </c>
      <c r="O315" s="394" t="s">
        <v>2054</v>
      </c>
    </row>
    <row r="316" spans="1:15">
      <c r="A316" s="811"/>
      <c r="B316" s="811"/>
      <c r="C316" s="811"/>
      <c r="D316" s="811"/>
      <c r="E316" s="397" t="s">
        <v>1351</v>
      </c>
      <c r="F316" s="397">
        <v>1.5</v>
      </c>
      <c r="G316" s="397">
        <v>0.6</v>
      </c>
      <c r="H316" s="397">
        <f>F316*G316</f>
        <v>0.89999999999999991</v>
      </c>
      <c r="I316" s="397">
        <v>2</v>
      </c>
      <c r="J316" s="397">
        <f>H316*I316</f>
        <v>1.7999999999999998</v>
      </c>
      <c r="K316" s="397">
        <f>J316</f>
        <v>1.7999999999999998</v>
      </c>
      <c r="L316" s="397" t="s">
        <v>100</v>
      </c>
      <c r="M316" s="397">
        <f>J316</f>
        <v>1.7999999999999998</v>
      </c>
      <c r="N316" s="397" t="s">
        <v>100</v>
      </c>
      <c r="O316" s="397">
        <f>SUM(K316:N316)</f>
        <v>3.5999999999999996</v>
      </c>
    </row>
    <row r="317" spans="1:15">
      <c r="A317" s="811"/>
      <c r="B317" s="811"/>
      <c r="C317" s="811"/>
      <c r="D317" s="811"/>
      <c r="E317" s="397" t="s">
        <v>1352</v>
      </c>
      <c r="F317" s="397">
        <v>1.5</v>
      </c>
      <c r="G317" s="397">
        <v>0.6</v>
      </c>
      <c r="H317" s="397">
        <f>F317*G317</f>
        <v>0.89999999999999991</v>
      </c>
      <c r="I317" s="397">
        <v>3</v>
      </c>
      <c r="J317" s="397">
        <f>H317*I317</f>
        <v>2.6999999999999997</v>
      </c>
      <c r="K317" s="397">
        <f>J317</f>
        <v>2.6999999999999997</v>
      </c>
      <c r="L317" s="397" t="s">
        <v>100</v>
      </c>
      <c r="M317" s="397">
        <f>J317</f>
        <v>2.6999999999999997</v>
      </c>
      <c r="N317" s="397" t="s">
        <v>100</v>
      </c>
      <c r="O317" s="397">
        <f>SUM(K317:N317)</f>
        <v>5.3999999999999995</v>
      </c>
    </row>
    <row r="318" spans="1:15">
      <c r="A318" s="811"/>
      <c r="B318" s="811"/>
      <c r="C318" s="811"/>
      <c r="D318" s="811"/>
      <c r="E318" s="397" t="s">
        <v>1353</v>
      </c>
      <c r="F318" s="397">
        <v>1.4</v>
      </c>
      <c r="G318" s="397">
        <v>1.4</v>
      </c>
      <c r="H318" s="397">
        <f>F318*G318</f>
        <v>1.9599999999999997</v>
      </c>
      <c r="I318" s="397">
        <v>25</v>
      </c>
      <c r="J318" s="397">
        <f>H318*I318</f>
        <v>48.999999999999993</v>
      </c>
      <c r="K318" s="397">
        <f>J318</f>
        <v>48.999999999999993</v>
      </c>
      <c r="L318" s="397" t="s">
        <v>100</v>
      </c>
      <c r="M318" s="397">
        <f>J318</f>
        <v>48.999999999999993</v>
      </c>
      <c r="N318" s="397" t="s">
        <v>100</v>
      </c>
      <c r="O318" s="397">
        <f>SUM(K318:N318)</f>
        <v>97.999999999999986</v>
      </c>
    </row>
    <row r="319" spans="1:15">
      <c r="A319" s="811"/>
      <c r="B319" s="811"/>
      <c r="C319" s="811"/>
      <c r="D319" s="811"/>
      <c r="E319" s="397" t="s">
        <v>1354</v>
      </c>
      <c r="F319" s="397">
        <v>1.4</v>
      </c>
      <c r="G319" s="397">
        <v>1.4</v>
      </c>
      <c r="H319" s="397">
        <f>F319*G319</f>
        <v>1.9599999999999997</v>
      </c>
      <c r="I319" s="397">
        <v>2</v>
      </c>
      <c r="J319" s="397">
        <f>H319*I319</f>
        <v>3.9199999999999995</v>
      </c>
      <c r="K319" s="397">
        <f>J319</f>
        <v>3.9199999999999995</v>
      </c>
      <c r="L319" s="397" t="s">
        <v>100</v>
      </c>
      <c r="M319" s="397">
        <f>J319</f>
        <v>3.9199999999999995</v>
      </c>
      <c r="N319" s="397" t="s">
        <v>100</v>
      </c>
      <c r="O319" s="397">
        <f>SUM(K319:N319)</f>
        <v>7.839999999999999</v>
      </c>
    </row>
    <row r="320" spans="1:15" ht="15.75">
      <c r="A320" s="811"/>
      <c r="B320" s="811"/>
      <c r="C320" s="811"/>
      <c r="D320" s="811"/>
      <c r="E320" s="811"/>
      <c r="F320" s="811"/>
      <c r="G320" s="811"/>
      <c r="H320" s="811"/>
      <c r="I320" s="393" t="s">
        <v>2063</v>
      </c>
      <c r="J320" s="397">
        <f>SUM(J316:J319)</f>
        <v>57.419999999999995</v>
      </c>
      <c r="K320" s="815"/>
      <c r="L320" s="815"/>
      <c r="M320" s="815"/>
      <c r="N320" s="393" t="s">
        <v>2063</v>
      </c>
      <c r="O320" s="397">
        <f>SUM(O316:O319)</f>
        <v>114.83999999999999</v>
      </c>
    </row>
    <row r="321" spans="1:15" ht="15.75">
      <c r="A321" s="811"/>
      <c r="B321" s="811"/>
      <c r="C321" s="811"/>
      <c r="D321" s="811"/>
      <c r="E321" s="811"/>
      <c r="F321" s="811"/>
      <c r="G321" s="811"/>
      <c r="H321" s="811"/>
      <c r="I321" s="811"/>
      <c r="J321" s="811"/>
      <c r="K321" s="811"/>
      <c r="L321" s="811"/>
      <c r="M321" s="811"/>
      <c r="N321" s="811"/>
      <c r="O321" s="811"/>
    </row>
    <row r="322" spans="1:15" ht="78.75">
      <c r="A322" s="811"/>
      <c r="B322" s="811"/>
      <c r="C322" s="811"/>
      <c r="D322" s="811" t="s">
        <v>2085</v>
      </c>
      <c r="E322" s="393" t="s">
        <v>100</v>
      </c>
      <c r="F322" s="393" t="s">
        <v>2062</v>
      </c>
      <c r="G322" s="393" t="s">
        <v>2061</v>
      </c>
      <c r="H322" s="393" t="s">
        <v>2060</v>
      </c>
      <c r="I322" s="393" t="s">
        <v>2059</v>
      </c>
      <c r="J322" s="393" t="s">
        <v>2054</v>
      </c>
      <c r="K322" s="394" t="s">
        <v>2058</v>
      </c>
      <c r="L322" s="394" t="s">
        <v>2057</v>
      </c>
      <c r="M322" s="394" t="s">
        <v>2056</v>
      </c>
      <c r="N322" s="394" t="s">
        <v>2055</v>
      </c>
      <c r="O322" s="394" t="s">
        <v>2054</v>
      </c>
    </row>
    <row r="323" spans="1:15">
      <c r="A323" s="811"/>
      <c r="B323" s="811"/>
      <c r="C323" s="811"/>
      <c r="D323" s="811"/>
      <c r="E323" s="397" t="s">
        <v>1351</v>
      </c>
      <c r="F323" s="397">
        <v>1.5</v>
      </c>
      <c r="G323" s="397">
        <v>0.6</v>
      </c>
      <c r="H323" s="397">
        <f>F323*G323</f>
        <v>0.89999999999999991</v>
      </c>
      <c r="I323" s="397">
        <v>2</v>
      </c>
      <c r="J323" s="397">
        <f>H323*I323</f>
        <v>1.7999999999999998</v>
      </c>
      <c r="K323" s="397">
        <f>J323</f>
        <v>1.7999999999999998</v>
      </c>
      <c r="L323" s="397" t="s">
        <v>100</v>
      </c>
      <c r="M323" s="397">
        <f>J323</f>
        <v>1.7999999999999998</v>
      </c>
      <c r="N323" s="397" t="s">
        <v>100</v>
      </c>
      <c r="O323" s="397">
        <f>SUM(K323:N323)</f>
        <v>3.5999999999999996</v>
      </c>
    </row>
    <row r="324" spans="1:15">
      <c r="A324" s="811"/>
      <c r="B324" s="811"/>
      <c r="C324" s="811"/>
      <c r="D324" s="811"/>
      <c r="E324" s="397" t="s">
        <v>1352</v>
      </c>
      <c r="F324" s="397">
        <v>1.5</v>
      </c>
      <c r="G324" s="397">
        <v>0.6</v>
      </c>
      <c r="H324" s="397">
        <f>F324*G324</f>
        <v>0.89999999999999991</v>
      </c>
      <c r="I324" s="397">
        <v>3</v>
      </c>
      <c r="J324" s="397">
        <f>H324*I324</f>
        <v>2.6999999999999997</v>
      </c>
      <c r="K324" s="397">
        <f>J324</f>
        <v>2.6999999999999997</v>
      </c>
      <c r="L324" s="397" t="s">
        <v>100</v>
      </c>
      <c r="M324" s="397">
        <f>J324</f>
        <v>2.6999999999999997</v>
      </c>
      <c r="N324" s="397" t="s">
        <v>100</v>
      </c>
      <c r="O324" s="397">
        <f>SUM(K324:N324)</f>
        <v>5.3999999999999995</v>
      </c>
    </row>
    <row r="325" spans="1:15">
      <c r="A325" s="811"/>
      <c r="B325" s="811"/>
      <c r="C325" s="811"/>
      <c r="D325" s="811"/>
      <c r="E325" s="397" t="s">
        <v>1353</v>
      </c>
      <c r="F325" s="397">
        <v>1.4</v>
      </c>
      <c r="G325" s="397">
        <v>1.4</v>
      </c>
      <c r="H325" s="397">
        <f>F325*G325</f>
        <v>1.9599999999999997</v>
      </c>
      <c r="I325" s="397">
        <v>25</v>
      </c>
      <c r="J325" s="397">
        <f>H325*I325</f>
        <v>48.999999999999993</v>
      </c>
      <c r="K325" s="397">
        <f>J325</f>
        <v>48.999999999999993</v>
      </c>
      <c r="L325" s="397" t="s">
        <v>100</v>
      </c>
      <c r="M325" s="397">
        <f>J325</f>
        <v>48.999999999999993</v>
      </c>
      <c r="N325" s="397" t="s">
        <v>100</v>
      </c>
      <c r="O325" s="397">
        <f>SUM(K325:N325)</f>
        <v>97.999999999999986</v>
      </c>
    </row>
    <row r="326" spans="1:15">
      <c r="A326" s="811"/>
      <c r="B326" s="811"/>
      <c r="C326" s="811"/>
      <c r="D326" s="811"/>
      <c r="E326" s="397" t="s">
        <v>1354</v>
      </c>
      <c r="F326" s="397">
        <v>1.4</v>
      </c>
      <c r="G326" s="397">
        <v>1.4</v>
      </c>
      <c r="H326" s="397">
        <f>F326*G326</f>
        <v>1.9599999999999997</v>
      </c>
      <c r="I326" s="397">
        <v>2</v>
      </c>
      <c r="J326" s="397">
        <f>H326*I326</f>
        <v>3.9199999999999995</v>
      </c>
      <c r="K326" s="397">
        <f>J326</f>
        <v>3.9199999999999995</v>
      </c>
      <c r="L326" s="397" t="s">
        <v>100</v>
      </c>
      <c r="M326" s="397">
        <f>J326</f>
        <v>3.9199999999999995</v>
      </c>
      <c r="N326" s="397" t="s">
        <v>100</v>
      </c>
      <c r="O326" s="397">
        <f>SUM(K326:N326)</f>
        <v>7.839999999999999</v>
      </c>
    </row>
    <row r="327" spans="1:15" ht="15.75">
      <c r="A327" s="811"/>
      <c r="B327" s="811"/>
      <c r="C327" s="811"/>
      <c r="D327" s="811"/>
      <c r="E327" s="811"/>
      <c r="F327" s="811"/>
      <c r="G327" s="811"/>
      <c r="H327" s="811"/>
      <c r="I327" s="393" t="s">
        <v>2063</v>
      </c>
      <c r="J327" s="397">
        <f>SUM(J323:J326)</f>
        <v>57.419999999999995</v>
      </c>
      <c r="K327" s="815"/>
      <c r="L327" s="815"/>
      <c r="M327" s="815"/>
      <c r="N327" s="393" t="s">
        <v>2063</v>
      </c>
      <c r="O327" s="397">
        <f>SUM(O323:O326)</f>
        <v>114.83999999999999</v>
      </c>
    </row>
    <row r="328" spans="1:15" ht="15.75">
      <c r="A328" s="811"/>
      <c r="B328" s="811"/>
      <c r="C328" s="811"/>
      <c r="D328" s="811"/>
      <c r="E328" s="811"/>
      <c r="F328" s="811"/>
      <c r="G328" s="811"/>
      <c r="H328" s="811"/>
      <c r="I328" s="811"/>
      <c r="J328" s="811"/>
      <c r="K328" s="811"/>
      <c r="L328" s="811"/>
      <c r="M328" s="811"/>
      <c r="N328" s="811"/>
      <c r="O328" s="811"/>
    </row>
    <row r="329" spans="1:15" ht="78.75">
      <c r="A329" s="811"/>
      <c r="B329" s="811" t="s">
        <v>1427</v>
      </c>
      <c r="C329" s="811"/>
      <c r="D329" s="811" t="s">
        <v>100</v>
      </c>
      <c r="E329" s="393" t="s">
        <v>100</v>
      </c>
      <c r="F329" s="393" t="s">
        <v>2062</v>
      </c>
      <c r="G329" s="393" t="s">
        <v>2061</v>
      </c>
      <c r="H329" s="393" t="s">
        <v>2060</v>
      </c>
      <c r="I329" s="393" t="s">
        <v>2059</v>
      </c>
      <c r="J329" s="393" t="s">
        <v>2054</v>
      </c>
      <c r="K329" s="394" t="s">
        <v>2058</v>
      </c>
      <c r="L329" s="394" t="s">
        <v>2057</v>
      </c>
      <c r="M329" s="394" t="s">
        <v>2056</v>
      </c>
      <c r="N329" s="394" t="s">
        <v>2055</v>
      </c>
      <c r="O329" s="394" t="s">
        <v>2054</v>
      </c>
    </row>
    <row r="330" spans="1:15">
      <c r="A330" s="811"/>
      <c r="B330" s="811"/>
      <c r="C330" s="811"/>
      <c r="D330" s="811"/>
      <c r="E330" s="397" t="s">
        <v>1354</v>
      </c>
      <c r="F330" s="397">
        <v>1</v>
      </c>
      <c r="G330" s="397">
        <v>1</v>
      </c>
      <c r="H330" s="397">
        <f>F330*G330</f>
        <v>1</v>
      </c>
      <c r="I330" s="397">
        <v>1</v>
      </c>
      <c r="J330" s="397">
        <f>H330*I330</f>
        <v>1</v>
      </c>
      <c r="K330" s="397">
        <f>J330*2</f>
        <v>2</v>
      </c>
      <c r="L330" s="397" t="s">
        <v>100</v>
      </c>
      <c r="M330" s="397" t="s">
        <v>100</v>
      </c>
      <c r="N330" s="397" t="s">
        <v>100</v>
      </c>
      <c r="O330" s="397">
        <f>SUM(K330:N330)</f>
        <v>2</v>
      </c>
    </row>
    <row r="331" spans="1:15">
      <c r="A331" s="811"/>
      <c r="B331" s="811"/>
      <c r="C331" s="811"/>
      <c r="D331" s="811"/>
      <c r="E331" s="397" t="s">
        <v>2134</v>
      </c>
      <c r="F331" s="397">
        <v>1</v>
      </c>
      <c r="G331" s="397">
        <v>1</v>
      </c>
      <c r="H331" s="397">
        <f>F331*G331</f>
        <v>1</v>
      </c>
      <c r="I331" s="397">
        <v>1</v>
      </c>
      <c r="J331" s="397">
        <f>H331*I331</f>
        <v>1</v>
      </c>
      <c r="K331" s="397">
        <f>J331*2</f>
        <v>2</v>
      </c>
      <c r="L331" s="397" t="s">
        <v>100</v>
      </c>
      <c r="M331" s="397" t="s">
        <v>100</v>
      </c>
      <c r="N331" s="397" t="s">
        <v>100</v>
      </c>
      <c r="O331" s="397">
        <f>SUM(K331:N331)</f>
        <v>2</v>
      </c>
    </row>
    <row r="332" spans="1:15">
      <c r="A332" s="811"/>
      <c r="B332" s="811"/>
      <c r="C332" s="811"/>
      <c r="D332" s="811"/>
      <c r="E332" s="397" t="s">
        <v>2133</v>
      </c>
      <c r="F332" s="397">
        <v>0.5</v>
      </c>
      <c r="G332" s="397">
        <v>1</v>
      </c>
      <c r="H332" s="397">
        <f>F332*G332</f>
        <v>0.5</v>
      </c>
      <c r="I332" s="397">
        <v>1</v>
      </c>
      <c r="J332" s="397">
        <f>H332*I332</f>
        <v>0.5</v>
      </c>
      <c r="K332" s="397">
        <f>J332*2</f>
        <v>1</v>
      </c>
      <c r="L332" s="397" t="s">
        <v>100</v>
      </c>
      <c r="M332" s="397" t="s">
        <v>100</v>
      </c>
      <c r="N332" s="397" t="s">
        <v>100</v>
      </c>
      <c r="O332" s="397">
        <f>SUM(K332:N332)</f>
        <v>1</v>
      </c>
    </row>
    <row r="333" spans="1:15">
      <c r="A333" s="811"/>
      <c r="B333" s="811"/>
      <c r="C333" s="811"/>
      <c r="D333" s="811"/>
      <c r="E333" s="397" t="s">
        <v>2137</v>
      </c>
      <c r="F333" s="397">
        <v>1.5</v>
      </c>
      <c r="G333" s="397">
        <v>0.4</v>
      </c>
      <c r="H333" s="397">
        <f>F333*G333</f>
        <v>0.60000000000000009</v>
      </c>
      <c r="I333" s="397">
        <v>4</v>
      </c>
      <c r="J333" s="397">
        <f>H333*I333</f>
        <v>2.4000000000000004</v>
      </c>
      <c r="K333" s="397">
        <f>J333*2</f>
        <v>4.8000000000000007</v>
      </c>
      <c r="L333" s="397" t="s">
        <v>100</v>
      </c>
      <c r="M333" s="397" t="s">
        <v>100</v>
      </c>
      <c r="N333" s="397" t="s">
        <v>100</v>
      </c>
      <c r="O333" s="397">
        <f>SUM(K333:N333)</f>
        <v>4.8000000000000007</v>
      </c>
    </row>
    <row r="334" spans="1:15" ht="15.75">
      <c r="A334" s="811"/>
      <c r="B334" s="811"/>
      <c r="C334" s="811"/>
      <c r="D334" s="811"/>
      <c r="E334" s="811"/>
      <c r="F334" s="811"/>
      <c r="G334" s="811"/>
      <c r="H334" s="811"/>
      <c r="I334" s="393" t="s">
        <v>2063</v>
      </c>
      <c r="J334" s="397">
        <f>SUM(J330:J333)</f>
        <v>4.9000000000000004</v>
      </c>
      <c r="K334" s="815"/>
      <c r="L334" s="815"/>
      <c r="M334" s="815"/>
      <c r="N334" s="393" t="s">
        <v>2063</v>
      </c>
      <c r="O334" s="397">
        <f>SUM(O330:O333)</f>
        <v>9.8000000000000007</v>
      </c>
    </row>
    <row r="335" spans="1:15">
      <c r="A335" s="811"/>
      <c r="B335" s="811"/>
      <c r="C335" s="811"/>
      <c r="D335" s="634"/>
      <c r="E335" s="634"/>
      <c r="F335" s="634"/>
      <c r="G335" s="634"/>
      <c r="H335" s="634"/>
      <c r="I335" s="634"/>
      <c r="J335" s="634"/>
      <c r="K335" s="634"/>
      <c r="L335" s="634"/>
      <c r="M335" s="634"/>
      <c r="N335" s="634"/>
      <c r="O335" s="634"/>
    </row>
    <row r="336" spans="1:15" ht="78.75">
      <c r="A336" s="811"/>
      <c r="B336" s="811"/>
      <c r="C336" s="810" t="s">
        <v>2063</v>
      </c>
      <c r="D336" s="810"/>
      <c r="E336" s="396" t="s">
        <v>100</v>
      </c>
      <c r="F336" s="396" t="s">
        <v>2062</v>
      </c>
      <c r="G336" s="396" t="s">
        <v>2061</v>
      </c>
      <c r="H336" s="396" t="s">
        <v>2060</v>
      </c>
      <c r="I336" s="396" t="s">
        <v>2059</v>
      </c>
      <c r="J336" s="396" t="s">
        <v>2054</v>
      </c>
      <c r="K336" s="395" t="s">
        <v>2058</v>
      </c>
      <c r="L336" s="395" t="s">
        <v>2057</v>
      </c>
      <c r="M336" s="395" t="s">
        <v>2056</v>
      </c>
      <c r="N336" s="395" t="s">
        <v>2055</v>
      </c>
      <c r="O336" s="395" t="s">
        <v>2054</v>
      </c>
    </row>
    <row r="337" spans="1:15">
      <c r="A337" s="811"/>
      <c r="B337" s="811"/>
      <c r="C337" s="810"/>
      <c r="D337" s="810"/>
      <c r="E337" s="392"/>
      <c r="F337" s="392"/>
      <c r="G337" s="392"/>
      <c r="H337" s="391"/>
      <c r="I337" s="391">
        <f>SUM(I302:I305,I296:I298,I309:I312,I316:I319,I323:I326,I291:I292,I330:I333)</f>
        <v>193</v>
      </c>
      <c r="J337" s="391">
        <f>SUM(,J327,J320,J313,J306,J300,J334)</f>
        <v>234.57999999999998</v>
      </c>
      <c r="K337" s="391">
        <f>SUM(K296:K298,K302:K305,K309:K312,K316:K319,K323:K326,K291:K292,K330:K333)</f>
        <v>318.17999999999995</v>
      </c>
      <c r="L337" s="391">
        <f>SUM(L296:L299,L303:L305,L309:L312,L316:L319,L323:L326,L291:L292,L330:L333)</f>
        <v>78.699999999999989</v>
      </c>
      <c r="M337" s="391">
        <f>SUM(M296:M299,M302:M305,M309:M312,M316:M319,M323:M326,M291:M292,M330:M333)</f>
        <v>229.67999999999995</v>
      </c>
      <c r="N337" s="391">
        <f>SUM(N296:N299,N302:N305,N309:N312,N316:N319,N323:N326,N291:N292,N330:N333)</f>
        <v>0</v>
      </c>
      <c r="O337" s="391">
        <f>SUM(O299,O306,O313,O320,O327,O293,O334)</f>
        <v>626.55999999999983</v>
      </c>
    </row>
    <row r="342" spans="1:15" ht="22.5">
      <c r="A342" s="819" t="s">
        <v>2136</v>
      </c>
      <c r="B342" s="814"/>
      <c r="C342" s="814"/>
      <c r="D342" s="814"/>
      <c r="E342" s="814"/>
      <c r="F342" s="814"/>
      <c r="G342" s="814"/>
      <c r="H342" s="814"/>
      <c r="I342" s="814"/>
      <c r="J342" s="814"/>
      <c r="K342" s="814"/>
      <c r="L342" s="814"/>
      <c r="M342" s="814"/>
      <c r="N342" s="814"/>
      <c r="O342" s="814"/>
    </row>
    <row r="343" spans="1:15" ht="78.75">
      <c r="A343" s="811" t="s">
        <v>2135</v>
      </c>
      <c r="B343" s="812" t="s">
        <v>2077</v>
      </c>
      <c r="C343" s="812" t="s">
        <v>1383</v>
      </c>
      <c r="D343" s="393" t="s">
        <v>100</v>
      </c>
      <c r="E343" s="393" t="s">
        <v>2062</v>
      </c>
      <c r="F343" s="393" t="s">
        <v>2061</v>
      </c>
      <c r="G343" s="393" t="s">
        <v>2060</v>
      </c>
      <c r="H343" s="393" t="s">
        <v>2059</v>
      </c>
      <c r="I343" s="393" t="s">
        <v>2054</v>
      </c>
      <c r="J343" s="394" t="s">
        <v>2058</v>
      </c>
      <c r="K343" s="394" t="s">
        <v>2057</v>
      </c>
      <c r="L343" s="394" t="s">
        <v>2056</v>
      </c>
      <c r="M343" s="394" t="s">
        <v>2055</v>
      </c>
      <c r="N343" s="394" t="s">
        <v>2054</v>
      </c>
    </row>
    <row r="344" spans="1:15">
      <c r="A344" s="811"/>
      <c r="B344" s="812"/>
      <c r="C344" s="812"/>
      <c r="D344" s="397" t="s">
        <v>1351</v>
      </c>
      <c r="E344" s="397">
        <v>0.55000000000000004</v>
      </c>
      <c r="F344" s="397">
        <v>0.55000000000000004</v>
      </c>
      <c r="G344" s="397">
        <f t="shared" ref="G344:G349" si="15">E344*F344</f>
        <v>0.30250000000000005</v>
      </c>
      <c r="H344" s="397">
        <v>30</v>
      </c>
      <c r="I344" s="397">
        <f t="shared" ref="I344:I349" si="16">G344*H344</f>
        <v>9.0750000000000011</v>
      </c>
      <c r="J344" s="397">
        <f t="shared" ref="J344:J349" si="17">I344*2</f>
        <v>18.150000000000002</v>
      </c>
      <c r="K344" s="397" t="s">
        <v>100</v>
      </c>
      <c r="L344" s="397" t="s">
        <v>100</v>
      </c>
      <c r="M344" s="397" t="s">
        <v>100</v>
      </c>
      <c r="N344" s="397">
        <f t="shared" ref="N344:N349" si="18">SUM(J344:M344)</f>
        <v>18.150000000000002</v>
      </c>
    </row>
    <row r="345" spans="1:15">
      <c r="A345" s="811"/>
      <c r="B345" s="812"/>
      <c r="C345" s="812"/>
      <c r="D345" s="397" t="s">
        <v>1352</v>
      </c>
      <c r="E345" s="397">
        <v>0.65</v>
      </c>
      <c r="F345" s="397">
        <v>0.65</v>
      </c>
      <c r="G345" s="397">
        <f t="shared" si="15"/>
        <v>0.42250000000000004</v>
      </c>
      <c r="H345" s="397">
        <v>13</v>
      </c>
      <c r="I345" s="397">
        <f t="shared" si="16"/>
        <v>5.4925000000000006</v>
      </c>
      <c r="J345" s="397">
        <f t="shared" si="17"/>
        <v>10.985000000000001</v>
      </c>
      <c r="K345" s="397" t="s">
        <v>100</v>
      </c>
      <c r="L345" s="397" t="s">
        <v>100</v>
      </c>
      <c r="M345" s="397" t="s">
        <v>100</v>
      </c>
      <c r="N345" s="397">
        <f t="shared" si="18"/>
        <v>10.985000000000001</v>
      </c>
    </row>
    <row r="346" spans="1:15">
      <c r="A346" s="811"/>
      <c r="B346" s="812"/>
      <c r="C346" s="812"/>
      <c r="D346" s="397" t="s">
        <v>1353</v>
      </c>
      <c r="E346" s="397">
        <v>0.65</v>
      </c>
      <c r="F346" s="397">
        <v>1.25</v>
      </c>
      <c r="G346" s="397">
        <f t="shared" si="15"/>
        <v>0.8125</v>
      </c>
      <c r="H346" s="397">
        <v>1</v>
      </c>
      <c r="I346" s="397">
        <f t="shared" si="16"/>
        <v>0.8125</v>
      </c>
      <c r="J346" s="397">
        <f t="shared" si="17"/>
        <v>1.625</v>
      </c>
      <c r="K346" s="397" t="s">
        <v>100</v>
      </c>
      <c r="L346" s="397" t="s">
        <v>100</v>
      </c>
      <c r="M346" s="397" t="s">
        <v>100</v>
      </c>
      <c r="N346" s="397">
        <f t="shared" si="18"/>
        <v>1.625</v>
      </c>
    </row>
    <row r="347" spans="1:15">
      <c r="A347" s="811"/>
      <c r="B347" s="812"/>
      <c r="C347" s="812"/>
      <c r="D347" s="397" t="s">
        <v>1354</v>
      </c>
      <c r="E347" s="397">
        <v>0.85</v>
      </c>
      <c r="F347" s="397">
        <v>0.65</v>
      </c>
      <c r="G347" s="397">
        <f t="shared" si="15"/>
        <v>0.55249999999999999</v>
      </c>
      <c r="H347" s="397">
        <v>2</v>
      </c>
      <c r="I347" s="397">
        <f t="shared" si="16"/>
        <v>1.105</v>
      </c>
      <c r="J347" s="397">
        <f t="shared" si="17"/>
        <v>2.21</v>
      </c>
      <c r="K347" s="397" t="s">
        <v>100</v>
      </c>
      <c r="L347" s="397" t="s">
        <v>100</v>
      </c>
      <c r="M347" s="397" t="s">
        <v>100</v>
      </c>
      <c r="N347" s="397">
        <f t="shared" si="18"/>
        <v>2.21</v>
      </c>
    </row>
    <row r="348" spans="1:15">
      <c r="A348" s="811"/>
      <c r="B348" s="812"/>
      <c r="C348" s="812"/>
      <c r="D348" s="397" t="s">
        <v>2134</v>
      </c>
      <c r="E348" s="397">
        <v>0.85</v>
      </c>
      <c r="F348" s="397">
        <v>1.25</v>
      </c>
      <c r="G348" s="397">
        <f t="shared" si="15"/>
        <v>1.0625</v>
      </c>
      <c r="H348" s="397">
        <v>53</v>
      </c>
      <c r="I348" s="397">
        <f t="shared" si="16"/>
        <v>56.3125</v>
      </c>
      <c r="J348" s="397">
        <f t="shared" si="17"/>
        <v>112.625</v>
      </c>
      <c r="K348" s="397" t="s">
        <v>100</v>
      </c>
      <c r="L348" s="397" t="s">
        <v>100</v>
      </c>
      <c r="M348" s="397" t="s">
        <v>100</v>
      </c>
      <c r="N348" s="397">
        <f t="shared" si="18"/>
        <v>112.625</v>
      </c>
    </row>
    <row r="349" spans="1:15">
      <c r="A349" s="811"/>
      <c r="B349" s="812"/>
      <c r="C349" s="812"/>
      <c r="D349" s="397" t="s">
        <v>2133</v>
      </c>
      <c r="E349" s="397">
        <v>1.65</v>
      </c>
      <c r="F349" s="397">
        <v>1.25</v>
      </c>
      <c r="G349" s="397">
        <f t="shared" si="15"/>
        <v>2.0625</v>
      </c>
      <c r="H349" s="397">
        <v>6</v>
      </c>
      <c r="I349" s="397">
        <f t="shared" si="16"/>
        <v>12.375</v>
      </c>
      <c r="J349" s="397">
        <f t="shared" si="17"/>
        <v>24.75</v>
      </c>
      <c r="K349" s="397" t="s">
        <v>100</v>
      </c>
      <c r="L349" s="397" t="s">
        <v>100</v>
      </c>
      <c r="M349" s="397" t="s">
        <v>100</v>
      </c>
      <c r="N349" s="397">
        <f t="shared" si="18"/>
        <v>24.75</v>
      </c>
    </row>
    <row r="350" spans="1:15">
      <c r="A350" s="811"/>
      <c r="B350" s="812"/>
      <c r="C350" s="812"/>
      <c r="D350" s="397"/>
      <c r="E350" s="397"/>
      <c r="F350" s="397"/>
      <c r="G350" s="397"/>
      <c r="H350" s="397"/>
      <c r="I350" s="397"/>
      <c r="J350" s="397"/>
      <c r="K350" s="397"/>
      <c r="L350" s="397"/>
      <c r="M350" s="397"/>
      <c r="N350" s="397"/>
    </row>
    <row r="351" spans="1:15" ht="15.75">
      <c r="A351" s="811"/>
      <c r="B351" s="812"/>
      <c r="C351" s="812"/>
      <c r="D351" s="397"/>
      <c r="E351" s="397"/>
      <c r="F351" s="397"/>
      <c r="G351" s="397"/>
      <c r="H351" s="393" t="s">
        <v>2063</v>
      </c>
      <c r="I351" s="397">
        <f>SUM(I344:I349)</f>
        <v>85.172499999999999</v>
      </c>
      <c r="J351" s="397"/>
      <c r="K351" s="397"/>
      <c r="L351" s="397"/>
      <c r="M351" s="393" t="s">
        <v>2063</v>
      </c>
      <c r="N351" s="397">
        <f>SUM(N344:N349)</f>
        <v>170.345</v>
      </c>
    </row>
    <row r="352" spans="1:15">
      <c r="A352" s="811"/>
      <c r="B352" s="812"/>
      <c r="D352" s="397"/>
      <c r="E352" s="397"/>
      <c r="F352" s="397"/>
      <c r="G352" s="397"/>
      <c r="H352" s="397"/>
      <c r="I352" s="397"/>
      <c r="J352" s="397"/>
      <c r="K352" s="397"/>
      <c r="L352" s="397"/>
      <c r="M352" s="397"/>
      <c r="N352" s="397"/>
    </row>
    <row r="353" spans="1:14" ht="78.75">
      <c r="A353" s="811"/>
      <c r="B353" s="812"/>
      <c r="C353" s="812" t="s">
        <v>2073</v>
      </c>
      <c r="D353" s="393" t="s">
        <v>100</v>
      </c>
      <c r="E353" s="393" t="s">
        <v>2062</v>
      </c>
      <c r="F353" s="393" t="s">
        <v>2061</v>
      </c>
      <c r="G353" s="393" t="s">
        <v>2060</v>
      </c>
      <c r="H353" s="393" t="s">
        <v>2059</v>
      </c>
      <c r="I353" s="393" t="s">
        <v>2054</v>
      </c>
      <c r="J353" s="394" t="s">
        <v>2058</v>
      </c>
      <c r="K353" s="394" t="s">
        <v>2057</v>
      </c>
      <c r="L353" s="394" t="s">
        <v>2056</v>
      </c>
      <c r="M353" s="394" t="s">
        <v>2055</v>
      </c>
      <c r="N353" s="394" t="s">
        <v>2054</v>
      </c>
    </row>
    <row r="354" spans="1:14">
      <c r="A354" s="811"/>
      <c r="B354" s="812"/>
      <c r="C354" s="812"/>
      <c r="D354" s="397" t="s">
        <v>1351</v>
      </c>
      <c r="E354" s="397">
        <v>0.55000000000000004</v>
      </c>
      <c r="F354" s="397">
        <v>0.55000000000000004</v>
      </c>
      <c r="G354" s="397">
        <f>E354*F354</f>
        <v>0.30250000000000005</v>
      </c>
      <c r="H354" s="397">
        <v>40</v>
      </c>
      <c r="I354" s="397">
        <f>G354*H354</f>
        <v>12.100000000000001</v>
      </c>
      <c r="J354" s="397">
        <f>I354*2</f>
        <v>24.200000000000003</v>
      </c>
      <c r="K354" s="397" t="s">
        <v>100</v>
      </c>
      <c r="L354" s="397" t="s">
        <v>100</v>
      </c>
      <c r="M354" s="397" t="s">
        <v>100</v>
      </c>
      <c r="N354" s="397">
        <f>SUM(J354:M354)</f>
        <v>24.200000000000003</v>
      </c>
    </row>
    <row r="355" spans="1:14">
      <c r="A355" s="811"/>
      <c r="B355" s="812"/>
      <c r="C355" s="812"/>
      <c r="D355" s="397" t="s">
        <v>2134</v>
      </c>
      <c r="E355" s="397">
        <v>0.85</v>
      </c>
      <c r="F355" s="397">
        <v>1.25</v>
      </c>
      <c r="G355" s="397">
        <f>E355*F355</f>
        <v>1.0625</v>
      </c>
      <c r="H355" s="397">
        <v>72</v>
      </c>
      <c r="I355" s="397">
        <f>G355*H355</f>
        <v>76.5</v>
      </c>
      <c r="J355" s="397">
        <f>I355*2</f>
        <v>153</v>
      </c>
      <c r="K355" s="397" t="s">
        <v>100</v>
      </c>
      <c r="L355" s="397" t="s">
        <v>100</v>
      </c>
      <c r="M355" s="397" t="s">
        <v>100</v>
      </c>
      <c r="N355" s="397">
        <f>SUM(J355:M355)</f>
        <v>153</v>
      </c>
    </row>
    <row r="356" spans="1:14">
      <c r="A356" s="811"/>
      <c r="B356" s="812"/>
      <c r="C356" s="812"/>
      <c r="D356" s="397" t="s">
        <v>2133</v>
      </c>
      <c r="E356" s="397">
        <v>1.65</v>
      </c>
      <c r="F356" s="397">
        <v>1.25</v>
      </c>
      <c r="G356" s="397">
        <f>E356*F356</f>
        <v>2.0625</v>
      </c>
      <c r="H356" s="397">
        <v>6</v>
      </c>
      <c r="I356" s="397">
        <f>G356*H356</f>
        <v>12.375</v>
      </c>
      <c r="J356" s="397">
        <f>I356*2</f>
        <v>24.75</v>
      </c>
      <c r="K356" s="397" t="s">
        <v>100</v>
      </c>
      <c r="L356" s="397" t="s">
        <v>100</v>
      </c>
      <c r="M356" s="397" t="s">
        <v>100</v>
      </c>
      <c r="N356" s="397">
        <f>SUM(J356:M356)</f>
        <v>24.75</v>
      </c>
    </row>
    <row r="357" spans="1:14">
      <c r="A357" s="811"/>
      <c r="B357" s="812"/>
      <c r="C357" s="812"/>
      <c r="D357" s="397"/>
      <c r="E357" s="397"/>
      <c r="F357" s="397"/>
      <c r="G357" s="397"/>
      <c r="H357" s="397"/>
      <c r="I357" s="397"/>
      <c r="J357" s="397"/>
      <c r="K357" s="397"/>
      <c r="L357" s="397"/>
      <c r="M357" s="397"/>
      <c r="N357" s="397"/>
    </row>
    <row r="358" spans="1:14" ht="15.75">
      <c r="A358" s="811"/>
      <c r="B358" s="812"/>
      <c r="C358" s="812"/>
      <c r="D358" s="397"/>
      <c r="E358" s="397"/>
      <c r="F358" s="397"/>
      <c r="G358" s="397"/>
      <c r="H358" s="393" t="s">
        <v>2063</v>
      </c>
      <c r="I358" s="397">
        <f>SUM(I354:I356)</f>
        <v>100.97499999999999</v>
      </c>
      <c r="J358" s="397"/>
      <c r="K358" s="397"/>
      <c r="L358" s="397"/>
      <c r="M358" s="393" t="s">
        <v>2063</v>
      </c>
      <c r="N358" s="397">
        <f>SUM(N354:N356)</f>
        <v>201.95</v>
      </c>
    </row>
    <row r="359" spans="1:14" ht="15.75">
      <c r="A359" s="811"/>
      <c r="B359" s="811"/>
      <c r="C359" s="811"/>
      <c r="D359" s="811"/>
      <c r="E359" s="811"/>
      <c r="F359" s="811"/>
      <c r="G359" s="811"/>
      <c r="H359" s="811"/>
      <c r="I359" s="811"/>
      <c r="J359" s="811"/>
      <c r="K359" s="811"/>
      <c r="L359" s="811"/>
      <c r="M359" s="811"/>
      <c r="N359" s="811"/>
    </row>
    <row r="360" spans="1:14" ht="78.75">
      <c r="A360" s="811"/>
      <c r="B360" s="810" t="s">
        <v>2063</v>
      </c>
      <c r="C360" s="810"/>
      <c r="D360" s="396" t="s">
        <v>100</v>
      </c>
      <c r="E360" s="396" t="s">
        <v>2062</v>
      </c>
      <c r="F360" s="396" t="s">
        <v>2061</v>
      </c>
      <c r="G360" s="396" t="s">
        <v>2060</v>
      </c>
      <c r="H360" s="396" t="s">
        <v>2059</v>
      </c>
      <c r="I360" s="396" t="s">
        <v>2054</v>
      </c>
      <c r="J360" s="395" t="s">
        <v>2058</v>
      </c>
      <c r="K360" s="395" t="s">
        <v>2057</v>
      </c>
      <c r="L360" s="395" t="s">
        <v>2056</v>
      </c>
      <c r="M360" s="395" t="s">
        <v>2055</v>
      </c>
      <c r="N360" s="395" t="s">
        <v>2054</v>
      </c>
    </row>
    <row r="361" spans="1:14">
      <c r="A361" s="811"/>
      <c r="B361" s="810"/>
      <c r="C361" s="810"/>
      <c r="D361" s="392"/>
      <c r="E361" s="392"/>
      <c r="F361" s="392"/>
      <c r="G361" s="391"/>
      <c r="H361" s="391">
        <f>SUM(H344:H349,H354:H356)</f>
        <v>223</v>
      </c>
      <c r="I361" s="391">
        <f>SUM(I351,I358)</f>
        <v>186.14749999999998</v>
      </c>
      <c r="J361" s="391">
        <f>SUM(J344:J349,J354:J356)</f>
        <v>372.29500000000002</v>
      </c>
      <c r="K361" s="391">
        <f>SUM(K344:K349,K354:K356)</f>
        <v>0</v>
      </c>
      <c r="L361" s="391">
        <f>SUM(L344:L349,L354:L356)</f>
        <v>0</v>
      </c>
      <c r="M361" s="391">
        <f>SUM(M344:M349,M354:M356)</f>
        <v>0</v>
      </c>
      <c r="N361" s="391">
        <f>SUM(N358,N351)</f>
        <v>372.29499999999996</v>
      </c>
    </row>
    <row r="366" spans="1:14" ht="18.75">
      <c r="A366" s="814" t="s">
        <v>2131</v>
      </c>
      <c r="B366" s="813"/>
      <c r="C366" s="813"/>
      <c r="D366" s="813"/>
      <c r="E366" s="813"/>
      <c r="F366" s="813"/>
      <c r="G366" s="813"/>
      <c r="H366" s="813"/>
      <c r="I366" s="813"/>
      <c r="J366" s="813"/>
      <c r="K366" s="813"/>
      <c r="L366" s="813"/>
      <c r="M366" s="813"/>
      <c r="N366" s="813"/>
    </row>
    <row r="367" spans="1:14" ht="78.75">
      <c r="A367" s="812" t="s">
        <v>2132</v>
      </c>
      <c r="B367" s="811" t="s">
        <v>1488</v>
      </c>
      <c r="C367" s="397"/>
      <c r="D367" s="393" t="s">
        <v>100</v>
      </c>
      <c r="E367" s="393" t="s">
        <v>2095</v>
      </c>
      <c r="F367" s="393" t="s">
        <v>2094</v>
      </c>
      <c r="G367" s="393" t="s">
        <v>2060</v>
      </c>
      <c r="H367" s="393" t="s">
        <v>2059</v>
      </c>
      <c r="I367" s="393" t="s">
        <v>2054</v>
      </c>
      <c r="J367" s="394" t="s">
        <v>2058</v>
      </c>
      <c r="K367" s="394" t="s">
        <v>2057</v>
      </c>
      <c r="L367" s="394" t="s">
        <v>2056</v>
      </c>
      <c r="M367" s="394" t="s">
        <v>2055</v>
      </c>
      <c r="N367" s="394" t="s">
        <v>2054</v>
      </c>
    </row>
    <row r="368" spans="1:14" ht="15.75">
      <c r="A368" s="812"/>
      <c r="B368" s="811"/>
      <c r="C368" s="400" t="s">
        <v>2126</v>
      </c>
      <c r="D368" s="397" t="s">
        <v>2105</v>
      </c>
      <c r="E368" s="397">
        <v>0.44</v>
      </c>
      <c r="F368" s="397">
        <v>0.44</v>
      </c>
      <c r="G368" s="397">
        <f>E368*F368</f>
        <v>0.19359999999999999</v>
      </c>
      <c r="H368" s="397">
        <v>8</v>
      </c>
      <c r="I368" s="397">
        <f>G368*H368</f>
        <v>1.5488</v>
      </c>
      <c r="J368" s="397">
        <f>I368*2</f>
        <v>3.0975999999999999</v>
      </c>
      <c r="K368" s="397" t="s">
        <v>100</v>
      </c>
      <c r="L368" s="397" t="s">
        <v>100</v>
      </c>
      <c r="M368" s="397" t="s">
        <v>100</v>
      </c>
      <c r="N368" s="397">
        <f>SUM(J368:K368)</f>
        <v>3.0975999999999999</v>
      </c>
    </row>
    <row r="369" spans="1:14" ht="15.75">
      <c r="A369" s="812"/>
      <c r="B369" s="811"/>
      <c r="C369" s="394" t="s">
        <v>2125</v>
      </c>
      <c r="D369" s="397" t="s">
        <v>2105</v>
      </c>
      <c r="E369" s="397">
        <v>0.44</v>
      </c>
      <c r="F369" s="397">
        <v>0.44</v>
      </c>
      <c r="G369" s="397">
        <f>E369*F369</f>
        <v>0.19359999999999999</v>
      </c>
      <c r="H369" s="397">
        <v>8</v>
      </c>
      <c r="I369" s="397">
        <f>G369*H369</f>
        <v>1.5488</v>
      </c>
      <c r="J369" s="397">
        <f>I369*2</f>
        <v>3.0975999999999999</v>
      </c>
      <c r="K369" s="397" t="s">
        <v>100</v>
      </c>
      <c r="L369" s="397" t="s">
        <v>100</v>
      </c>
      <c r="M369" s="397" t="s">
        <v>100</v>
      </c>
      <c r="N369" s="397">
        <f>SUM(J369:K369)</f>
        <v>3.0975999999999999</v>
      </c>
    </row>
    <row r="370" spans="1:14" ht="15.75">
      <c r="A370" s="812"/>
      <c r="B370" s="811"/>
      <c r="C370" s="812"/>
      <c r="D370" s="812"/>
      <c r="E370" s="812"/>
      <c r="F370" s="812"/>
      <c r="G370" s="812"/>
      <c r="H370" s="812"/>
      <c r="I370" s="812"/>
      <c r="J370" s="812"/>
      <c r="K370" s="812"/>
      <c r="L370" s="812"/>
      <c r="M370" s="812"/>
      <c r="N370" s="812"/>
    </row>
    <row r="371" spans="1:14" ht="15.75">
      <c r="A371" s="812"/>
      <c r="B371" s="811"/>
      <c r="C371" s="812"/>
      <c r="D371" s="812"/>
      <c r="E371" s="812"/>
      <c r="F371" s="812"/>
      <c r="G371" s="812"/>
      <c r="H371" s="393" t="s">
        <v>2063</v>
      </c>
      <c r="I371" s="397">
        <f>SUM(I368:I369)</f>
        <v>3.0975999999999999</v>
      </c>
      <c r="J371" s="815"/>
      <c r="K371" s="815"/>
      <c r="L371" s="815"/>
      <c r="M371" s="403" t="s">
        <v>2063</v>
      </c>
      <c r="N371" s="397">
        <f>SUM(N368:N369)</f>
        <v>6.1951999999999998</v>
      </c>
    </row>
    <row r="372" spans="1:14" ht="78.75">
      <c r="A372" s="812"/>
      <c r="B372" s="811" t="s">
        <v>1487</v>
      </c>
      <c r="C372" s="812"/>
      <c r="D372" s="393" t="s">
        <v>100</v>
      </c>
      <c r="E372" s="393" t="s">
        <v>2095</v>
      </c>
      <c r="F372" s="393" t="s">
        <v>2094</v>
      </c>
      <c r="G372" s="393" t="s">
        <v>2060</v>
      </c>
      <c r="H372" s="393" t="s">
        <v>2059</v>
      </c>
      <c r="I372" s="393" t="s">
        <v>2054</v>
      </c>
      <c r="J372" s="394" t="s">
        <v>2058</v>
      </c>
      <c r="K372" s="394" t="s">
        <v>2057</v>
      </c>
      <c r="L372" s="394" t="s">
        <v>2056</v>
      </c>
      <c r="M372" s="394" t="s">
        <v>2055</v>
      </c>
      <c r="N372" s="394" t="s">
        <v>2054</v>
      </c>
    </row>
    <row r="373" spans="1:14">
      <c r="A373" s="812"/>
      <c r="B373" s="811"/>
      <c r="C373" s="812"/>
      <c r="D373" s="397" t="s">
        <v>2105</v>
      </c>
      <c r="E373" s="397">
        <v>0.44</v>
      </c>
      <c r="F373" s="397">
        <v>0.44</v>
      </c>
      <c r="G373" s="397">
        <f>E373*F373</f>
        <v>0.19359999999999999</v>
      </c>
      <c r="H373" s="397">
        <v>8</v>
      </c>
      <c r="I373" s="397">
        <f>G373*H373</f>
        <v>1.5488</v>
      </c>
      <c r="J373" s="397">
        <f>I373*2</f>
        <v>3.0975999999999999</v>
      </c>
      <c r="K373" s="397" t="s">
        <v>100</v>
      </c>
      <c r="L373" s="397" t="s">
        <v>100</v>
      </c>
      <c r="M373" s="397" t="s">
        <v>100</v>
      </c>
      <c r="N373" s="397">
        <f>SUM(J373:K373)</f>
        <v>3.0975999999999999</v>
      </c>
    </row>
    <row r="374" spans="1:14">
      <c r="A374" s="812"/>
      <c r="B374" s="811"/>
      <c r="C374" s="812"/>
      <c r="D374" s="813"/>
      <c r="E374" s="813"/>
      <c r="F374" s="813"/>
      <c r="G374" s="813"/>
      <c r="H374" s="813"/>
      <c r="I374" s="813"/>
      <c r="J374" s="813"/>
      <c r="K374" s="813"/>
      <c r="L374" s="813"/>
      <c r="M374" s="813"/>
      <c r="N374" s="813"/>
    </row>
    <row r="375" spans="1:14" ht="15.75">
      <c r="A375" s="812"/>
      <c r="B375" s="811"/>
      <c r="C375" s="812"/>
      <c r="D375" s="815"/>
      <c r="E375" s="815"/>
      <c r="F375" s="815"/>
      <c r="G375" s="815"/>
      <c r="H375" s="393" t="s">
        <v>2063</v>
      </c>
      <c r="I375" s="397">
        <f>I373</f>
        <v>1.5488</v>
      </c>
      <c r="J375" s="815"/>
      <c r="K375" s="815"/>
      <c r="L375" s="815"/>
      <c r="M375" s="403" t="s">
        <v>2063</v>
      </c>
      <c r="N375" s="397">
        <f>SUM(N368:N369,N373)</f>
        <v>9.2927999999999997</v>
      </c>
    </row>
    <row r="376" spans="1:14">
      <c r="A376" s="817"/>
      <c r="B376" s="817"/>
      <c r="C376" s="817"/>
      <c r="D376" s="817"/>
      <c r="E376" s="817"/>
      <c r="F376" s="817"/>
      <c r="G376" s="817"/>
      <c r="H376" s="817"/>
      <c r="I376" s="817"/>
      <c r="J376" s="817"/>
      <c r="K376" s="817"/>
      <c r="L376" s="817"/>
      <c r="M376" s="817"/>
      <c r="N376" s="817"/>
    </row>
    <row r="377" spans="1:14" ht="78.75">
      <c r="A377" s="817"/>
      <c r="B377" s="810" t="s">
        <v>2063</v>
      </c>
      <c r="C377" s="810"/>
      <c r="D377" s="396" t="s">
        <v>100</v>
      </c>
      <c r="E377" s="396" t="s">
        <v>2062</v>
      </c>
      <c r="F377" s="396" t="s">
        <v>2061</v>
      </c>
      <c r="G377" s="396" t="s">
        <v>2060</v>
      </c>
      <c r="H377" s="396" t="s">
        <v>2059</v>
      </c>
      <c r="I377" s="396" t="s">
        <v>2054</v>
      </c>
      <c r="J377" s="395" t="s">
        <v>2058</v>
      </c>
      <c r="K377" s="395" t="s">
        <v>2057</v>
      </c>
      <c r="L377" s="395" t="s">
        <v>2056</v>
      </c>
      <c r="M377" s="395" t="s">
        <v>2055</v>
      </c>
      <c r="N377" s="395" t="s">
        <v>2054</v>
      </c>
    </row>
    <row r="378" spans="1:14">
      <c r="A378" s="817"/>
      <c r="B378" s="810"/>
      <c r="C378" s="810"/>
      <c r="D378" s="392"/>
      <c r="E378" s="392"/>
      <c r="F378" s="392"/>
      <c r="G378" s="392"/>
      <c r="H378" s="391">
        <f>SUM(H368:H369,H373)</f>
        <v>24</v>
      </c>
      <c r="I378" s="391">
        <f>SUM(I371,I375)</f>
        <v>4.6463999999999999</v>
      </c>
      <c r="J378" s="391">
        <f>SUM(J368:J369,J373)</f>
        <v>9.2927999999999997</v>
      </c>
      <c r="K378" s="391">
        <f>SUM(K368:K369,K373)</f>
        <v>0</v>
      </c>
      <c r="L378" s="391">
        <f>SUM(L368:L369,L373)</f>
        <v>0</v>
      </c>
      <c r="M378" s="391">
        <f>SUM(M368,M369,M373)</f>
        <v>0</v>
      </c>
      <c r="N378" s="391">
        <f>SUM(N371,N375)</f>
        <v>15.488</v>
      </c>
    </row>
    <row r="381" spans="1:14" ht="18.75">
      <c r="A381" s="814" t="s">
        <v>2131</v>
      </c>
      <c r="B381" s="814"/>
      <c r="C381" s="814"/>
      <c r="D381" s="814"/>
      <c r="E381" s="814"/>
      <c r="F381" s="814"/>
      <c r="G381" s="814"/>
      <c r="H381" s="814"/>
      <c r="I381" s="814"/>
      <c r="J381" s="814"/>
      <c r="K381" s="814"/>
      <c r="L381" s="814"/>
      <c r="M381" s="814"/>
      <c r="N381" s="814"/>
    </row>
    <row r="382" spans="1:14" ht="78.75">
      <c r="A382" s="812" t="s">
        <v>2130</v>
      </c>
      <c r="B382" s="811" t="s">
        <v>1486</v>
      </c>
      <c r="C382" s="403"/>
      <c r="D382" s="393" t="s">
        <v>100</v>
      </c>
      <c r="E382" s="393" t="s">
        <v>2095</v>
      </c>
      <c r="F382" s="393" t="s">
        <v>2094</v>
      </c>
      <c r="G382" s="393" t="s">
        <v>2060</v>
      </c>
      <c r="H382" s="393" t="s">
        <v>2059</v>
      </c>
      <c r="I382" s="393" t="s">
        <v>2054</v>
      </c>
      <c r="J382" s="394" t="s">
        <v>2058</v>
      </c>
      <c r="K382" s="394" t="s">
        <v>2057</v>
      </c>
      <c r="L382" s="394" t="s">
        <v>2056</v>
      </c>
      <c r="M382" s="394" t="s">
        <v>2055</v>
      </c>
      <c r="N382" s="394" t="s">
        <v>2054</v>
      </c>
    </row>
    <row r="383" spans="1:14" ht="15.75">
      <c r="A383" s="812"/>
      <c r="B383" s="811"/>
      <c r="C383" s="394" t="s">
        <v>2126</v>
      </c>
      <c r="D383" s="397" t="s">
        <v>2105</v>
      </c>
      <c r="E383" s="397">
        <v>0.44</v>
      </c>
      <c r="F383" s="397">
        <v>0.44</v>
      </c>
      <c r="G383" s="397">
        <f>E383*F383</f>
        <v>0.19359999999999999</v>
      </c>
      <c r="H383" s="397">
        <v>6</v>
      </c>
      <c r="I383" s="397">
        <f>G383*H383</f>
        <v>1.1616</v>
      </c>
      <c r="J383" s="397">
        <f>I383*2</f>
        <v>2.3231999999999999</v>
      </c>
      <c r="K383" s="397" t="s">
        <v>100</v>
      </c>
      <c r="L383" s="397" t="s">
        <v>100</v>
      </c>
      <c r="M383" s="397" t="s">
        <v>100</v>
      </c>
      <c r="N383" s="397">
        <f>SUM(J383:M383)</f>
        <v>2.3231999999999999</v>
      </c>
    </row>
    <row r="384" spans="1:14" ht="15.75">
      <c r="A384" s="812"/>
      <c r="B384" s="811"/>
      <c r="C384" s="394" t="s">
        <v>2125</v>
      </c>
      <c r="D384" s="397" t="s">
        <v>2105</v>
      </c>
      <c r="E384" s="397">
        <v>0.44</v>
      </c>
      <c r="F384" s="397">
        <v>0.44</v>
      </c>
      <c r="G384" s="397">
        <f>E384*F384</f>
        <v>0.19359999999999999</v>
      </c>
      <c r="H384" s="397">
        <v>8</v>
      </c>
      <c r="I384" s="397">
        <f>G384*H384</f>
        <v>1.5488</v>
      </c>
      <c r="J384" s="397">
        <f>I384*2</f>
        <v>3.0975999999999999</v>
      </c>
      <c r="K384" s="397" t="s">
        <v>100</v>
      </c>
      <c r="L384" s="397" t="s">
        <v>100</v>
      </c>
      <c r="M384" s="397" t="s">
        <v>100</v>
      </c>
      <c r="N384" s="397">
        <f>SUM(I384:M384)</f>
        <v>4.6463999999999999</v>
      </c>
    </row>
    <row r="385" spans="1:15" ht="15.75">
      <c r="A385" s="812"/>
      <c r="B385" s="811"/>
      <c r="C385" s="812"/>
      <c r="D385" s="812"/>
      <c r="E385" s="812"/>
      <c r="F385" s="812"/>
      <c r="G385" s="812"/>
      <c r="H385" s="812"/>
      <c r="I385" s="812"/>
      <c r="J385" s="812"/>
      <c r="K385" s="812"/>
      <c r="L385" s="812"/>
      <c r="M385" s="812"/>
      <c r="N385" s="812"/>
    </row>
    <row r="386" spans="1:15" ht="15.75">
      <c r="A386" s="812"/>
      <c r="B386" s="811"/>
      <c r="C386" s="813"/>
      <c r="D386" s="813"/>
      <c r="E386" s="813"/>
      <c r="F386" s="813"/>
      <c r="G386" s="813"/>
      <c r="H386" s="393" t="s">
        <v>2063</v>
      </c>
      <c r="I386" s="397">
        <f>SUM(I383:I384)</f>
        <v>2.7103999999999999</v>
      </c>
      <c r="J386" s="813"/>
      <c r="K386" s="813"/>
      <c r="L386" s="813"/>
      <c r="M386" s="393" t="s">
        <v>2063</v>
      </c>
      <c r="N386" s="397">
        <f>SUM(N383:N384)</f>
        <v>6.9695999999999998</v>
      </c>
    </row>
    <row r="387" spans="1:15" ht="15.75">
      <c r="A387" s="812"/>
      <c r="B387" s="811"/>
      <c r="C387" s="811"/>
      <c r="D387" s="811"/>
      <c r="E387" s="811"/>
      <c r="F387" s="811"/>
      <c r="G387" s="811"/>
      <c r="H387" s="811"/>
      <c r="I387" s="811"/>
      <c r="J387" s="811"/>
      <c r="K387" s="811"/>
      <c r="L387" s="811"/>
      <c r="M387" s="811"/>
      <c r="N387" s="811"/>
    </row>
    <row r="388" spans="1:15" ht="78.75">
      <c r="A388" s="812"/>
      <c r="B388" s="811" t="s">
        <v>1485</v>
      </c>
      <c r="C388" s="811"/>
      <c r="D388" s="393" t="s">
        <v>100</v>
      </c>
      <c r="E388" s="393" t="s">
        <v>2095</v>
      </c>
      <c r="F388" s="393" t="s">
        <v>2094</v>
      </c>
      <c r="G388" s="393" t="s">
        <v>2060</v>
      </c>
      <c r="H388" s="393" t="s">
        <v>2059</v>
      </c>
      <c r="I388" s="393" t="s">
        <v>2054</v>
      </c>
      <c r="J388" s="394" t="s">
        <v>2058</v>
      </c>
      <c r="K388" s="394" t="s">
        <v>2057</v>
      </c>
      <c r="L388" s="394" t="s">
        <v>2056</v>
      </c>
      <c r="M388" s="394" t="s">
        <v>2055</v>
      </c>
      <c r="N388" s="394" t="s">
        <v>2054</v>
      </c>
    </row>
    <row r="389" spans="1:15">
      <c r="A389" s="812"/>
      <c r="B389" s="811"/>
      <c r="C389" s="811"/>
      <c r="D389" s="397" t="s">
        <v>2105</v>
      </c>
      <c r="E389" s="397">
        <v>0.44</v>
      </c>
      <c r="F389" s="397">
        <v>0.44</v>
      </c>
      <c r="G389" s="397">
        <f>E389*F389</f>
        <v>0.19359999999999999</v>
      </c>
      <c r="H389" s="397">
        <v>6</v>
      </c>
      <c r="I389" s="397">
        <f>G389*H389</f>
        <v>1.1616</v>
      </c>
      <c r="J389" s="397">
        <f>I389*2</f>
        <v>2.3231999999999999</v>
      </c>
      <c r="K389" s="397" t="s">
        <v>100</v>
      </c>
      <c r="L389" s="397" t="s">
        <v>100</v>
      </c>
      <c r="M389" s="397" t="s">
        <v>100</v>
      </c>
      <c r="N389" s="397">
        <f>SUM(J389:K389)</f>
        <v>2.3231999999999999</v>
      </c>
    </row>
    <row r="390" spans="1:15">
      <c r="A390" s="812"/>
      <c r="B390" s="811"/>
      <c r="C390" s="811"/>
      <c r="D390" s="815"/>
      <c r="E390" s="815"/>
      <c r="F390" s="815"/>
      <c r="G390" s="815"/>
      <c r="H390" s="815"/>
      <c r="I390" s="815"/>
      <c r="J390" s="815"/>
      <c r="K390" s="815"/>
      <c r="L390" s="815"/>
      <c r="M390" s="815"/>
      <c r="N390" s="815"/>
    </row>
    <row r="391" spans="1:15" ht="15.75">
      <c r="A391" s="812"/>
      <c r="B391" s="811"/>
      <c r="C391" s="811"/>
      <c r="D391" s="815"/>
      <c r="E391" s="815"/>
      <c r="F391" s="815"/>
      <c r="G391" s="815"/>
      <c r="H391" s="393" t="s">
        <v>2063</v>
      </c>
      <c r="I391" s="397">
        <f>I389</f>
        <v>1.1616</v>
      </c>
      <c r="J391" s="813"/>
      <c r="K391" s="813"/>
      <c r="L391" s="813"/>
      <c r="M391" s="393" t="s">
        <v>2063</v>
      </c>
      <c r="N391" s="397">
        <f>SUM(N389)</f>
        <v>2.3231999999999999</v>
      </c>
    </row>
    <row r="392" spans="1:15" ht="15.75">
      <c r="A392" s="812"/>
      <c r="B392" s="812"/>
      <c r="C392" s="812"/>
      <c r="D392" s="812"/>
      <c r="E392" s="812"/>
      <c r="F392" s="812"/>
      <c r="G392" s="812"/>
      <c r="H392" s="812"/>
      <c r="I392" s="812"/>
      <c r="J392" s="812"/>
      <c r="K392" s="812"/>
      <c r="L392" s="812"/>
      <c r="M392" s="812"/>
      <c r="N392" s="812"/>
    </row>
    <row r="393" spans="1:15" ht="78.75">
      <c r="A393" s="812"/>
      <c r="B393" s="810" t="s">
        <v>2063</v>
      </c>
      <c r="C393" s="810"/>
      <c r="D393" s="396" t="s">
        <v>100</v>
      </c>
      <c r="E393" s="396" t="s">
        <v>2062</v>
      </c>
      <c r="F393" s="396" t="s">
        <v>2061</v>
      </c>
      <c r="G393" s="396" t="s">
        <v>2060</v>
      </c>
      <c r="H393" s="396" t="s">
        <v>2059</v>
      </c>
      <c r="I393" s="396" t="s">
        <v>2054</v>
      </c>
      <c r="J393" s="395" t="s">
        <v>2058</v>
      </c>
      <c r="K393" s="395" t="s">
        <v>2057</v>
      </c>
      <c r="L393" s="395" t="s">
        <v>2056</v>
      </c>
      <c r="M393" s="395" t="s">
        <v>2055</v>
      </c>
      <c r="N393" s="395" t="s">
        <v>2054</v>
      </c>
    </row>
    <row r="394" spans="1:15">
      <c r="A394" s="812"/>
      <c r="B394" s="810"/>
      <c r="C394" s="810"/>
      <c r="D394" s="392"/>
      <c r="E394" s="392"/>
      <c r="F394" s="392"/>
      <c r="G394" s="392"/>
      <c r="H394" s="391">
        <f>SUM(H383,H384,H389)</f>
        <v>20</v>
      </c>
      <c r="I394" s="391">
        <f>SUM(I386,I391)</f>
        <v>3.8719999999999999</v>
      </c>
      <c r="J394" s="391">
        <f>SUM(J383:J384,J389)</f>
        <v>7.7439999999999998</v>
      </c>
      <c r="K394" s="391">
        <f>SUM(K383,K384,K389)</f>
        <v>0</v>
      </c>
      <c r="L394" s="391">
        <f>SUM(L383,L384,L389)</f>
        <v>0</v>
      </c>
      <c r="M394" s="391">
        <f>SUM(M383,M384,M389)</f>
        <v>0</v>
      </c>
      <c r="N394" s="391">
        <f>SUM(N386,N391)</f>
        <v>9.2927999999999997</v>
      </c>
    </row>
    <row r="398" spans="1:15" ht="18.75">
      <c r="A398" s="814" t="s">
        <v>2129</v>
      </c>
      <c r="B398" s="814"/>
      <c r="C398" s="814"/>
      <c r="D398" s="814"/>
      <c r="E398" s="814"/>
      <c r="F398" s="814"/>
      <c r="G398" s="814"/>
      <c r="H398" s="814"/>
      <c r="I398" s="814"/>
      <c r="J398" s="814"/>
      <c r="K398" s="814"/>
      <c r="L398" s="814"/>
      <c r="M398" s="814"/>
      <c r="N398" s="814"/>
      <c r="O398" s="814"/>
    </row>
    <row r="399" spans="1:15" ht="78.75">
      <c r="A399" s="814" t="s">
        <v>2128</v>
      </c>
      <c r="B399" s="811" t="s">
        <v>2127</v>
      </c>
      <c r="C399" s="811"/>
      <c r="D399" s="397"/>
      <c r="E399" s="393" t="s">
        <v>100</v>
      </c>
      <c r="F399" s="393" t="s">
        <v>2095</v>
      </c>
      <c r="G399" s="393" t="s">
        <v>2094</v>
      </c>
      <c r="H399" s="393" t="s">
        <v>2060</v>
      </c>
      <c r="I399" s="393" t="s">
        <v>2059</v>
      </c>
      <c r="J399" s="393" t="s">
        <v>2054</v>
      </c>
      <c r="K399" s="394" t="s">
        <v>2058</v>
      </c>
      <c r="L399" s="394" t="s">
        <v>2057</v>
      </c>
      <c r="M399" s="394" t="s">
        <v>2056</v>
      </c>
      <c r="N399" s="394" t="s">
        <v>2055</v>
      </c>
      <c r="O399" s="394" t="s">
        <v>2054</v>
      </c>
    </row>
    <row r="400" spans="1:15" ht="15.75">
      <c r="A400" s="814"/>
      <c r="B400" s="811"/>
      <c r="C400" s="811"/>
      <c r="D400" s="394" t="s">
        <v>2126</v>
      </c>
      <c r="E400" s="397" t="s">
        <v>2105</v>
      </c>
      <c r="F400" s="397">
        <v>0.44</v>
      </c>
      <c r="G400" s="397">
        <v>0.44</v>
      </c>
      <c r="H400" s="397">
        <f>F400*G400</f>
        <v>0.19359999999999999</v>
      </c>
      <c r="I400" s="397">
        <v>7</v>
      </c>
      <c r="J400" s="397">
        <f>H400*I400</f>
        <v>1.3552</v>
      </c>
      <c r="K400" s="397">
        <f>J400*2</f>
        <v>2.7103999999999999</v>
      </c>
      <c r="L400" s="397" t="s">
        <v>100</v>
      </c>
      <c r="M400" s="397" t="s">
        <v>100</v>
      </c>
      <c r="N400" s="397" t="s">
        <v>100</v>
      </c>
      <c r="O400" s="397">
        <f>SUM(K400:N400)</f>
        <v>2.7103999999999999</v>
      </c>
    </row>
    <row r="401" spans="1:15" ht="31.5">
      <c r="A401" s="814"/>
      <c r="B401" s="811"/>
      <c r="C401" s="811"/>
      <c r="D401" s="394" t="s">
        <v>2125</v>
      </c>
      <c r="E401" s="397" t="s">
        <v>2105</v>
      </c>
      <c r="F401" s="397">
        <v>0.44</v>
      </c>
      <c r="G401" s="397">
        <v>0.44</v>
      </c>
      <c r="H401" s="397">
        <f>F401*G401</f>
        <v>0.19359999999999999</v>
      </c>
      <c r="I401" s="397">
        <v>8</v>
      </c>
      <c r="J401" s="397">
        <f>H401*I401</f>
        <v>1.5488</v>
      </c>
      <c r="K401" s="397">
        <f>J401*2</f>
        <v>3.0975999999999999</v>
      </c>
      <c r="L401" s="397" t="s">
        <v>100</v>
      </c>
      <c r="M401" s="397" t="s">
        <v>100</v>
      </c>
      <c r="N401" s="397" t="s">
        <v>100</v>
      </c>
      <c r="O401" s="397">
        <f>SUM(K401:N401)</f>
        <v>3.0975999999999999</v>
      </c>
    </row>
    <row r="402" spans="1:15" ht="15.75">
      <c r="A402" s="814"/>
      <c r="B402" s="811"/>
      <c r="C402" s="811"/>
      <c r="D402" s="812"/>
      <c r="E402" s="812"/>
      <c r="F402" s="812"/>
      <c r="G402" s="812"/>
      <c r="H402" s="812"/>
      <c r="I402" s="812"/>
      <c r="J402" s="812"/>
      <c r="K402" s="812"/>
      <c r="L402" s="812"/>
      <c r="M402" s="812"/>
      <c r="N402" s="812"/>
      <c r="O402" s="812"/>
    </row>
    <row r="403" spans="1:15" ht="15.75">
      <c r="A403" s="814"/>
      <c r="B403" s="811"/>
      <c r="C403" s="811"/>
      <c r="D403" s="813"/>
      <c r="E403" s="813"/>
      <c r="F403" s="813"/>
      <c r="G403" s="813"/>
      <c r="H403" s="813"/>
      <c r="I403" s="393" t="s">
        <v>2091</v>
      </c>
      <c r="J403" s="397">
        <f>SUM(J400:J401)</f>
        <v>2.9039999999999999</v>
      </c>
      <c r="K403" s="813"/>
      <c r="L403" s="813"/>
      <c r="M403" s="813"/>
      <c r="N403" s="393" t="s">
        <v>2091</v>
      </c>
      <c r="O403" s="397">
        <f>SUM(O400:O401)</f>
        <v>5.8079999999999998</v>
      </c>
    </row>
    <row r="404" spans="1:15" ht="15.75">
      <c r="A404" s="814"/>
      <c r="B404" s="811"/>
      <c r="C404" s="811"/>
      <c r="D404" s="811"/>
      <c r="E404" s="811"/>
      <c r="F404" s="811"/>
      <c r="G404" s="811"/>
      <c r="H404" s="811"/>
      <c r="I404" s="811"/>
      <c r="J404" s="811"/>
      <c r="K404" s="811"/>
      <c r="L404" s="811"/>
      <c r="M404" s="811"/>
      <c r="N404" s="811"/>
      <c r="O404" s="811"/>
    </row>
    <row r="405" spans="1:15" ht="78.75">
      <c r="A405" s="814"/>
      <c r="B405" s="811" t="s">
        <v>1483</v>
      </c>
      <c r="C405" s="811"/>
      <c r="D405" s="813"/>
      <c r="E405" s="393" t="s">
        <v>100</v>
      </c>
      <c r="F405" s="393" t="s">
        <v>2095</v>
      </c>
      <c r="G405" s="393" t="s">
        <v>2094</v>
      </c>
      <c r="H405" s="393" t="s">
        <v>2060</v>
      </c>
      <c r="I405" s="393" t="s">
        <v>2059</v>
      </c>
      <c r="J405" s="393" t="s">
        <v>2054</v>
      </c>
      <c r="K405" s="394" t="s">
        <v>2058</v>
      </c>
      <c r="L405" s="394" t="s">
        <v>2057</v>
      </c>
      <c r="M405" s="394" t="s">
        <v>2056</v>
      </c>
      <c r="N405" s="394" t="s">
        <v>2055</v>
      </c>
      <c r="O405" s="394" t="s">
        <v>2054</v>
      </c>
    </row>
    <row r="406" spans="1:15">
      <c r="A406" s="814"/>
      <c r="B406" s="811"/>
      <c r="C406" s="811"/>
      <c r="D406" s="813"/>
      <c r="E406" s="398" t="s">
        <v>1351</v>
      </c>
      <c r="F406" s="398">
        <v>4</v>
      </c>
      <c r="G406" s="398">
        <v>2.5</v>
      </c>
      <c r="H406" s="398">
        <f>F406*G406</f>
        <v>10</v>
      </c>
      <c r="I406" s="398">
        <v>16</v>
      </c>
      <c r="J406" s="398">
        <f>H406*I406</f>
        <v>160</v>
      </c>
      <c r="K406" s="398">
        <f>J406*2</f>
        <v>320</v>
      </c>
      <c r="L406" s="398" t="s">
        <v>100</v>
      </c>
      <c r="M406" s="398" t="s">
        <v>100</v>
      </c>
      <c r="N406" s="398" t="s">
        <v>100</v>
      </c>
      <c r="O406" s="398">
        <f>SUM(K406:L406)</f>
        <v>320</v>
      </c>
    </row>
    <row r="407" spans="1:15">
      <c r="A407" s="814"/>
      <c r="B407" s="811"/>
      <c r="C407" s="811"/>
      <c r="D407" s="813"/>
      <c r="E407" s="398" t="s">
        <v>1352</v>
      </c>
      <c r="F407" s="398">
        <v>4</v>
      </c>
      <c r="G407" s="398">
        <v>0.75</v>
      </c>
      <c r="H407" s="398">
        <f>F407*G407</f>
        <v>3</v>
      </c>
      <c r="I407" s="398">
        <v>1</v>
      </c>
      <c r="J407" s="398">
        <f>H407*I407</f>
        <v>3</v>
      </c>
      <c r="K407" s="398">
        <f>J407*2</f>
        <v>6</v>
      </c>
      <c r="L407" s="398" t="s">
        <v>100</v>
      </c>
      <c r="M407" s="398" t="s">
        <v>100</v>
      </c>
      <c r="N407" s="398" t="s">
        <v>100</v>
      </c>
      <c r="O407" s="398">
        <f>SUM(K407:L407)</f>
        <v>6</v>
      </c>
    </row>
    <row r="408" spans="1:15">
      <c r="A408" s="814"/>
      <c r="B408" s="811"/>
      <c r="C408" s="811"/>
      <c r="D408" s="813"/>
      <c r="E408" s="398" t="s">
        <v>1353</v>
      </c>
      <c r="F408" s="398">
        <v>1.6</v>
      </c>
      <c r="G408" s="398">
        <v>0.9</v>
      </c>
      <c r="H408" s="398">
        <f>F408*G408</f>
        <v>1.4400000000000002</v>
      </c>
      <c r="I408" s="398">
        <v>2</v>
      </c>
      <c r="J408" s="398">
        <f>H408*I408</f>
        <v>2.8800000000000003</v>
      </c>
      <c r="K408" s="398">
        <f>J408*2</f>
        <v>5.7600000000000007</v>
      </c>
      <c r="L408" s="398" t="s">
        <v>100</v>
      </c>
      <c r="M408" s="398" t="s">
        <v>100</v>
      </c>
      <c r="N408" s="398" t="s">
        <v>100</v>
      </c>
      <c r="O408" s="398">
        <f>SUM(K408:L408)</f>
        <v>5.7600000000000007</v>
      </c>
    </row>
    <row r="409" spans="1:15">
      <c r="A409" s="814"/>
      <c r="B409" s="811"/>
      <c r="C409" s="811"/>
      <c r="D409" s="813"/>
      <c r="E409" s="815"/>
      <c r="F409" s="815"/>
      <c r="G409" s="815"/>
      <c r="H409" s="815"/>
      <c r="I409" s="815"/>
      <c r="J409" s="815"/>
      <c r="K409" s="815"/>
      <c r="L409" s="815"/>
      <c r="M409" s="815"/>
      <c r="N409" s="815"/>
      <c r="O409" s="815"/>
    </row>
    <row r="410" spans="1:15" ht="15.75">
      <c r="A410" s="814"/>
      <c r="B410" s="811"/>
      <c r="C410" s="811"/>
      <c r="D410" s="813"/>
      <c r="E410" s="813"/>
      <c r="F410" s="813"/>
      <c r="G410" s="813"/>
      <c r="H410" s="813"/>
      <c r="I410" s="393" t="s">
        <v>2063</v>
      </c>
      <c r="J410" s="397">
        <f>SUM(J406:J408)</f>
        <v>165.88</v>
      </c>
      <c r="K410" s="813"/>
      <c r="L410" s="813"/>
      <c r="M410" s="813"/>
      <c r="N410" s="393" t="s">
        <v>2063</v>
      </c>
      <c r="O410" s="397">
        <f>SUM(O406:O408)</f>
        <v>331.76</v>
      </c>
    </row>
    <row r="411" spans="1:15" ht="15.75">
      <c r="A411" s="814"/>
      <c r="B411" s="814"/>
      <c r="C411" s="811"/>
      <c r="D411" s="811"/>
      <c r="E411" s="811"/>
      <c r="F411" s="811"/>
      <c r="G411" s="811"/>
      <c r="H411" s="811"/>
      <c r="I411" s="811"/>
      <c r="J411" s="811"/>
      <c r="K411" s="811"/>
      <c r="L411" s="811"/>
      <c r="M411" s="811"/>
      <c r="N411" s="811"/>
      <c r="O411" s="811"/>
    </row>
    <row r="412" spans="1:15" ht="78.75">
      <c r="A412" s="814"/>
      <c r="B412" s="814"/>
      <c r="C412" s="810" t="s">
        <v>2063</v>
      </c>
      <c r="D412" s="810"/>
      <c r="E412" s="396" t="s">
        <v>100</v>
      </c>
      <c r="F412" s="396" t="s">
        <v>2062</v>
      </c>
      <c r="G412" s="396" t="s">
        <v>2061</v>
      </c>
      <c r="H412" s="396" t="s">
        <v>2060</v>
      </c>
      <c r="I412" s="396" t="s">
        <v>2059</v>
      </c>
      <c r="J412" s="396" t="s">
        <v>2054</v>
      </c>
      <c r="K412" s="395" t="s">
        <v>2058</v>
      </c>
      <c r="L412" s="395" t="s">
        <v>2057</v>
      </c>
      <c r="M412" s="395" t="s">
        <v>2056</v>
      </c>
      <c r="N412" s="395" t="s">
        <v>2055</v>
      </c>
      <c r="O412" s="395" t="s">
        <v>2054</v>
      </c>
    </row>
    <row r="413" spans="1:15">
      <c r="A413" s="814"/>
      <c r="B413" s="814"/>
      <c r="C413" s="810"/>
      <c r="D413" s="810"/>
      <c r="E413" s="392"/>
      <c r="F413" s="392"/>
      <c r="G413" s="392"/>
      <c r="H413" s="392"/>
      <c r="I413" s="391">
        <f>SUM(I400:I401,I406:I408)</f>
        <v>34</v>
      </c>
      <c r="J413" s="391">
        <f>SUM(J403,J410)</f>
        <v>168.78399999999999</v>
      </c>
      <c r="K413" s="391">
        <f>SUM(K400:K401,K406:K408)</f>
        <v>337.56799999999998</v>
      </c>
      <c r="L413" s="391">
        <f>SUM(L400,L401,L406:L408)</f>
        <v>0</v>
      </c>
      <c r="M413" s="391">
        <f>SUM(M402,M403,M408)</f>
        <v>0</v>
      </c>
      <c r="N413" s="391">
        <f>SUM(N402,N403,N408)</f>
        <v>0</v>
      </c>
      <c r="O413" s="391">
        <f>SUM(O403,O410)</f>
        <v>337.56799999999998</v>
      </c>
    </row>
    <row r="414" spans="1:15">
      <c r="A414" s="814"/>
      <c r="B414" s="814"/>
      <c r="C414" s="817"/>
      <c r="D414" s="817"/>
      <c r="E414" s="817"/>
      <c r="F414" s="817"/>
      <c r="G414" s="817"/>
      <c r="H414" s="817"/>
      <c r="I414" s="817"/>
      <c r="J414" s="817"/>
      <c r="K414" s="817"/>
      <c r="L414" s="817"/>
      <c r="M414" s="817"/>
      <c r="N414" s="817"/>
      <c r="O414" s="817"/>
    </row>
    <row r="417" spans="1:14" ht="18.75">
      <c r="A417" s="814" t="s">
        <v>2124</v>
      </c>
      <c r="B417" s="814"/>
      <c r="C417" s="814"/>
      <c r="D417" s="814"/>
      <c r="E417" s="814"/>
      <c r="F417" s="814"/>
      <c r="G417" s="814"/>
      <c r="H417" s="814"/>
      <c r="I417" s="814"/>
      <c r="J417" s="814"/>
      <c r="K417" s="814"/>
      <c r="L417" s="814"/>
      <c r="M417" s="814"/>
      <c r="N417" s="814"/>
    </row>
    <row r="418" spans="1:14" ht="78.75">
      <c r="A418" s="811" t="s">
        <v>2123</v>
      </c>
      <c r="B418" s="811" t="s">
        <v>1482</v>
      </c>
      <c r="C418" s="811" t="s">
        <v>2122</v>
      </c>
      <c r="D418" s="393" t="s">
        <v>100</v>
      </c>
      <c r="E418" s="393" t="s">
        <v>2095</v>
      </c>
      <c r="F418" s="393" t="s">
        <v>2094</v>
      </c>
      <c r="G418" s="393" t="s">
        <v>2060</v>
      </c>
      <c r="H418" s="393" t="s">
        <v>2059</v>
      </c>
      <c r="I418" s="393" t="s">
        <v>2054</v>
      </c>
      <c r="J418" s="394" t="s">
        <v>2058</v>
      </c>
      <c r="K418" s="394" t="s">
        <v>2057</v>
      </c>
      <c r="L418" s="394" t="s">
        <v>2056</v>
      </c>
      <c r="M418" s="394" t="s">
        <v>2055</v>
      </c>
      <c r="N418" s="394" t="s">
        <v>2054</v>
      </c>
    </row>
    <row r="419" spans="1:14" ht="15.75">
      <c r="A419" s="811"/>
      <c r="B419" s="811"/>
      <c r="C419" s="811"/>
      <c r="D419" s="402" t="s">
        <v>2120</v>
      </c>
      <c r="E419" s="402">
        <v>0.36</v>
      </c>
      <c r="F419" s="402">
        <v>0.36</v>
      </c>
      <c r="G419" s="402">
        <f>E419*F419</f>
        <v>0.12959999999999999</v>
      </c>
      <c r="H419" s="402">
        <v>6</v>
      </c>
      <c r="I419" s="402">
        <f>G419*H419</f>
        <v>0.77759999999999996</v>
      </c>
      <c r="J419" s="402">
        <f>I419*2</f>
        <v>1.5551999999999999</v>
      </c>
      <c r="K419" s="402" t="s">
        <v>100</v>
      </c>
      <c r="L419" s="402" t="s">
        <v>100</v>
      </c>
      <c r="M419" s="402" t="s">
        <v>100</v>
      </c>
      <c r="N419" s="402">
        <f>SUM(J419:M419)</f>
        <v>1.5551999999999999</v>
      </c>
    </row>
    <row r="420" spans="1:14" ht="15.75">
      <c r="A420" s="811"/>
      <c r="B420" s="811"/>
      <c r="C420" s="393" t="s">
        <v>2121</v>
      </c>
      <c r="D420" s="402" t="s">
        <v>2120</v>
      </c>
      <c r="E420" s="402">
        <v>0.36</v>
      </c>
      <c r="F420" s="402">
        <v>0.36</v>
      </c>
      <c r="G420" s="402">
        <f>E420*F420</f>
        <v>0.12959999999999999</v>
      </c>
      <c r="H420" s="402">
        <v>13</v>
      </c>
      <c r="I420" s="402">
        <f>G420*H420</f>
        <v>1.6847999999999999</v>
      </c>
      <c r="J420" s="402">
        <f>I420*2</f>
        <v>3.3695999999999997</v>
      </c>
      <c r="K420" s="402" t="s">
        <v>100</v>
      </c>
      <c r="L420" s="402" t="s">
        <v>100</v>
      </c>
      <c r="M420" s="402" t="s">
        <v>100</v>
      </c>
      <c r="N420" s="402">
        <f>SUM(J420:M420)</f>
        <v>3.3695999999999997</v>
      </c>
    </row>
    <row r="421" spans="1:14" ht="15.75">
      <c r="A421" s="811"/>
      <c r="B421" s="811"/>
      <c r="C421" s="811"/>
      <c r="D421" s="811"/>
      <c r="E421" s="811"/>
      <c r="F421" s="811"/>
      <c r="G421" s="811"/>
      <c r="H421" s="811"/>
      <c r="I421" s="811"/>
      <c r="J421" s="811"/>
      <c r="K421" s="811"/>
      <c r="L421" s="811"/>
      <c r="M421" s="811"/>
      <c r="N421" s="811"/>
    </row>
    <row r="422" spans="1:14" ht="15.75">
      <c r="A422" s="811"/>
      <c r="B422" s="811"/>
      <c r="C422" s="811"/>
      <c r="D422" s="811"/>
      <c r="E422" s="811"/>
      <c r="F422" s="811"/>
      <c r="G422" s="811"/>
      <c r="H422" s="393" t="s">
        <v>2063</v>
      </c>
      <c r="I422" s="402">
        <f>SUM(I419:I420)</f>
        <v>2.4623999999999997</v>
      </c>
      <c r="J422" s="818"/>
      <c r="K422" s="818"/>
      <c r="L422" s="818"/>
      <c r="M422" s="393" t="s">
        <v>2063</v>
      </c>
      <c r="N422" s="402">
        <f>SUM(N419:N420)</f>
        <v>4.9247999999999994</v>
      </c>
    </row>
    <row r="423" spans="1:14" ht="15.75">
      <c r="A423" s="811"/>
      <c r="B423" s="811" t="s">
        <v>2119</v>
      </c>
      <c r="C423" s="811"/>
      <c r="D423" s="811"/>
      <c r="E423" s="811"/>
      <c r="F423" s="811"/>
      <c r="G423" s="811"/>
      <c r="H423" s="811"/>
      <c r="I423" s="811"/>
      <c r="J423" s="811"/>
      <c r="K423" s="811"/>
      <c r="L423" s="811"/>
      <c r="M423" s="811"/>
      <c r="N423" s="811"/>
    </row>
    <row r="424" spans="1:14" ht="78.75">
      <c r="A424" s="811"/>
      <c r="B424" s="811"/>
      <c r="C424" s="400"/>
      <c r="D424" s="393" t="s">
        <v>100</v>
      </c>
      <c r="E424" s="393" t="s">
        <v>2095</v>
      </c>
      <c r="F424" s="393" t="s">
        <v>2094</v>
      </c>
      <c r="G424" s="393" t="s">
        <v>2060</v>
      </c>
      <c r="H424" s="393" t="s">
        <v>2059</v>
      </c>
      <c r="I424" s="393" t="s">
        <v>2054</v>
      </c>
      <c r="J424" s="394" t="s">
        <v>2058</v>
      </c>
      <c r="K424" s="394" t="s">
        <v>2057</v>
      </c>
      <c r="L424" s="394" t="s">
        <v>2056</v>
      </c>
      <c r="M424" s="394" t="s">
        <v>2055</v>
      </c>
      <c r="N424" s="394" t="s">
        <v>2054</v>
      </c>
    </row>
    <row r="425" spans="1:14" ht="15.75">
      <c r="A425" s="811"/>
      <c r="B425" s="811"/>
      <c r="C425" s="400" t="s">
        <v>108</v>
      </c>
      <c r="D425" s="402" t="s">
        <v>2118</v>
      </c>
      <c r="E425" s="402">
        <v>3.45</v>
      </c>
      <c r="F425" s="402">
        <v>2.4</v>
      </c>
      <c r="G425" s="402">
        <f>E425*F425</f>
        <v>8.2799999999999994</v>
      </c>
      <c r="H425" s="402">
        <v>1</v>
      </c>
      <c r="I425" s="402">
        <f>G425*H425</f>
        <v>8.2799999999999994</v>
      </c>
      <c r="J425" s="402">
        <f>I425*2</f>
        <v>16.559999999999999</v>
      </c>
      <c r="K425" s="402" t="s">
        <v>100</v>
      </c>
      <c r="L425" s="402" t="s">
        <v>100</v>
      </c>
      <c r="M425" s="402" t="s">
        <v>100</v>
      </c>
      <c r="N425" s="402">
        <f>SUM(J425:M425)</f>
        <v>16.559999999999999</v>
      </c>
    </row>
    <row r="426" spans="1:14" ht="15.75">
      <c r="A426" s="811"/>
      <c r="B426" s="811"/>
      <c r="C426" s="400"/>
      <c r="D426" s="402" t="s">
        <v>2117</v>
      </c>
      <c r="E426" s="402">
        <v>4</v>
      </c>
      <c r="F426" s="402">
        <v>2.4</v>
      </c>
      <c r="G426" s="402">
        <f>E426*F426</f>
        <v>9.6</v>
      </c>
      <c r="H426" s="402">
        <v>2</v>
      </c>
      <c r="I426" s="402">
        <f>G426*H426</f>
        <v>19.2</v>
      </c>
      <c r="J426" s="402">
        <f>I426*2</f>
        <v>38.4</v>
      </c>
      <c r="K426" s="402" t="s">
        <v>100</v>
      </c>
      <c r="L426" s="402" t="s">
        <v>100</v>
      </c>
      <c r="M426" s="402" t="s">
        <v>100</v>
      </c>
      <c r="N426" s="402">
        <f>SUM(J426:M426)</f>
        <v>38.4</v>
      </c>
    </row>
    <row r="427" spans="1:14" ht="15.75">
      <c r="A427" s="811"/>
      <c r="B427" s="811"/>
      <c r="C427" s="811"/>
      <c r="D427" s="811"/>
      <c r="E427" s="811"/>
      <c r="F427" s="811"/>
      <c r="G427" s="811"/>
      <c r="H427" s="811"/>
      <c r="I427" s="811"/>
      <c r="J427" s="811"/>
      <c r="K427" s="811"/>
      <c r="L427" s="811"/>
      <c r="M427" s="811"/>
      <c r="N427" s="811"/>
    </row>
    <row r="428" spans="1:14" ht="15.75">
      <c r="A428" s="811"/>
      <c r="B428" s="811"/>
      <c r="C428" s="811"/>
      <c r="D428" s="811"/>
      <c r="E428" s="811"/>
      <c r="F428" s="811"/>
      <c r="G428" s="811"/>
      <c r="H428" s="393" t="s">
        <v>2063</v>
      </c>
      <c r="I428" s="402">
        <f>SUM(I425:I426)</f>
        <v>27.479999999999997</v>
      </c>
      <c r="J428" s="818"/>
      <c r="K428" s="818"/>
      <c r="L428" s="818"/>
      <c r="M428" s="393" t="s">
        <v>2063</v>
      </c>
      <c r="N428" s="402">
        <f>SUM(N425:N426)</f>
        <v>54.959999999999994</v>
      </c>
    </row>
    <row r="429" spans="1:14" ht="15.75">
      <c r="A429" s="811"/>
      <c r="B429" s="811"/>
      <c r="C429" s="811"/>
      <c r="D429" s="811"/>
      <c r="E429" s="811"/>
      <c r="F429" s="811"/>
      <c r="G429" s="811"/>
      <c r="H429" s="811"/>
      <c r="I429" s="811"/>
      <c r="J429" s="811"/>
      <c r="K429" s="811"/>
      <c r="L429" s="811"/>
      <c r="M429" s="811"/>
      <c r="N429" s="811"/>
    </row>
    <row r="430" spans="1:14" ht="78.75">
      <c r="A430" s="811"/>
      <c r="B430" s="810" t="s">
        <v>2063</v>
      </c>
      <c r="C430" s="810"/>
      <c r="D430" s="396" t="s">
        <v>100</v>
      </c>
      <c r="E430" s="396" t="s">
        <v>2062</v>
      </c>
      <c r="F430" s="396" t="s">
        <v>2061</v>
      </c>
      <c r="G430" s="396" t="s">
        <v>2060</v>
      </c>
      <c r="H430" s="396" t="s">
        <v>2059</v>
      </c>
      <c r="I430" s="396" t="s">
        <v>2054</v>
      </c>
      <c r="J430" s="395" t="s">
        <v>2058</v>
      </c>
      <c r="K430" s="395" t="s">
        <v>2057</v>
      </c>
      <c r="L430" s="395" t="s">
        <v>2056</v>
      </c>
      <c r="M430" s="395" t="s">
        <v>2055</v>
      </c>
      <c r="N430" s="395" t="s">
        <v>2054</v>
      </c>
    </row>
    <row r="431" spans="1:14">
      <c r="A431" s="811"/>
      <c r="B431" s="810"/>
      <c r="C431" s="810"/>
      <c r="D431" s="392"/>
      <c r="E431" s="392"/>
      <c r="F431" s="392"/>
      <c r="G431" s="392"/>
      <c r="H431" s="391">
        <f>SUM(H419:H420,H425:H426)</f>
        <v>22</v>
      </c>
      <c r="I431" s="391">
        <f>SUM(I422,I428)</f>
        <v>29.942399999999996</v>
      </c>
      <c r="J431" s="391">
        <f>SUM(J419:J420,J425:J426)</f>
        <v>59.884799999999998</v>
      </c>
      <c r="K431" s="391">
        <f>SUM(K419:K420,K425:K426)</f>
        <v>0</v>
      </c>
      <c r="L431" s="391">
        <f>SUM(L419:L420,L425:L426)</f>
        <v>0</v>
      </c>
      <c r="M431" s="391">
        <f>SUM(M419:M420,M425:M426)</f>
        <v>0</v>
      </c>
      <c r="N431" s="391">
        <f>SUM(N422,N428)</f>
        <v>59.884799999999991</v>
      </c>
    </row>
    <row r="434" spans="1:15" ht="18.75">
      <c r="A434" s="814" t="s">
        <v>2116</v>
      </c>
      <c r="B434" s="814"/>
      <c r="C434" s="814"/>
      <c r="D434" s="814"/>
      <c r="E434" s="814"/>
      <c r="F434" s="814"/>
      <c r="G434" s="814"/>
      <c r="H434" s="814"/>
      <c r="I434" s="814"/>
      <c r="J434" s="814"/>
      <c r="K434" s="814"/>
      <c r="L434" s="814"/>
      <c r="M434" s="814"/>
      <c r="N434" s="814"/>
      <c r="O434" s="814"/>
    </row>
    <row r="435" spans="1:15" ht="78.75">
      <c r="A435" s="811" t="s">
        <v>2115</v>
      </c>
      <c r="B435" s="811" t="s">
        <v>2114</v>
      </c>
      <c r="C435" s="811"/>
      <c r="D435" s="811" t="s">
        <v>394</v>
      </c>
      <c r="E435" s="393" t="s">
        <v>2072</v>
      </c>
      <c r="F435" s="394" t="s">
        <v>2071</v>
      </c>
      <c r="G435" s="393" t="s">
        <v>2070</v>
      </c>
      <c r="H435" s="393" t="s">
        <v>2060</v>
      </c>
      <c r="I435" s="393" t="s">
        <v>2059</v>
      </c>
      <c r="J435" s="393" t="s">
        <v>2069</v>
      </c>
      <c r="K435" s="394" t="s">
        <v>2068</v>
      </c>
      <c r="L435" s="394" t="s">
        <v>2057</v>
      </c>
      <c r="M435" s="394" t="s">
        <v>2056</v>
      </c>
      <c r="N435" s="394" t="s">
        <v>2067</v>
      </c>
      <c r="O435" s="394" t="s">
        <v>2066</v>
      </c>
    </row>
    <row r="436" spans="1:15" ht="15.75">
      <c r="A436" s="811"/>
      <c r="B436" s="811"/>
      <c r="C436" s="811"/>
      <c r="D436" s="811"/>
      <c r="E436" s="393" t="s">
        <v>2065</v>
      </c>
      <c r="F436" s="390"/>
      <c r="G436" s="390"/>
      <c r="H436" s="390"/>
      <c r="I436" s="390"/>
      <c r="J436" s="390"/>
      <c r="K436" s="390"/>
      <c r="L436" s="390"/>
      <c r="M436" s="390"/>
      <c r="N436" s="390"/>
      <c r="O436" s="390"/>
    </row>
    <row r="437" spans="1:15">
      <c r="A437" s="811"/>
      <c r="B437" s="811"/>
      <c r="C437" s="811"/>
      <c r="D437" s="811"/>
      <c r="E437" s="397" t="s">
        <v>2113</v>
      </c>
      <c r="F437" s="397">
        <v>1.66</v>
      </c>
      <c r="G437" s="397">
        <v>2.04</v>
      </c>
      <c r="H437" s="397">
        <f>F437*G437</f>
        <v>3.3864000000000001</v>
      </c>
      <c r="I437" s="397">
        <v>3</v>
      </c>
      <c r="J437" s="397">
        <f>H437*I437</f>
        <v>10.1592</v>
      </c>
      <c r="K437" s="397">
        <f>J437*2</f>
        <v>20.3184</v>
      </c>
      <c r="L437" s="397" t="s">
        <v>100</v>
      </c>
      <c r="M437" s="397" t="s">
        <v>100</v>
      </c>
      <c r="N437" s="397" t="s">
        <v>100</v>
      </c>
      <c r="O437" s="397">
        <f>SUM(K437:N437)</f>
        <v>20.3184</v>
      </c>
    </row>
    <row r="438" spans="1:15">
      <c r="A438" s="811"/>
      <c r="B438" s="811"/>
      <c r="C438" s="811"/>
      <c r="D438" s="811"/>
      <c r="E438" s="397" t="s">
        <v>2112</v>
      </c>
      <c r="F438" s="397">
        <v>1.66</v>
      </c>
      <c r="G438" s="397">
        <v>0.51</v>
      </c>
      <c r="H438" s="397">
        <f>F438*G438</f>
        <v>0.84660000000000002</v>
      </c>
      <c r="I438" s="397">
        <v>3</v>
      </c>
      <c r="J438" s="397">
        <f>H438*I438</f>
        <v>2.5398000000000001</v>
      </c>
      <c r="K438" s="397">
        <f>J438*2</f>
        <v>5.0796000000000001</v>
      </c>
      <c r="L438" s="397" t="s">
        <v>100</v>
      </c>
      <c r="M438" s="397" t="s">
        <v>100</v>
      </c>
      <c r="N438" s="397" t="s">
        <v>100</v>
      </c>
      <c r="O438" s="397">
        <f>SUM(K438:N438)</f>
        <v>5.0796000000000001</v>
      </c>
    </row>
    <row r="439" spans="1:15">
      <c r="A439" s="811"/>
      <c r="B439" s="811"/>
      <c r="C439" s="811"/>
      <c r="D439" s="811"/>
      <c r="E439" s="397" t="s">
        <v>2111</v>
      </c>
      <c r="F439" s="397">
        <v>0.77</v>
      </c>
      <c r="G439" s="397">
        <v>2.04</v>
      </c>
      <c r="H439" s="397">
        <f>F439*G439</f>
        <v>1.5708</v>
      </c>
      <c r="I439" s="397">
        <v>2</v>
      </c>
      <c r="J439" s="397">
        <f>H439*I439</f>
        <v>3.1415999999999999</v>
      </c>
      <c r="K439" s="397">
        <f>J439*2</f>
        <v>6.2831999999999999</v>
      </c>
      <c r="L439" s="397" t="s">
        <v>100</v>
      </c>
      <c r="M439" s="397" t="s">
        <v>100</v>
      </c>
      <c r="N439" s="397" t="s">
        <v>100</v>
      </c>
      <c r="O439" s="397">
        <f>SUM(K439:N439)</f>
        <v>6.2831999999999999</v>
      </c>
    </row>
    <row r="440" spans="1:15">
      <c r="A440" s="811"/>
      <c r="B440" s="811"/>
      <c r="C440" s="811"/>
      <c r="D440" s="811"/>
      <c r="E440" s="397" t="s">
        <v>2110</v>
      </c>
      <c r="F440" s="397">
        <v>0.77</v>
      </c>
      <c r="G440" s="397">
        <v>0.51</v>
      </c>
      <c r="H440" s="397">
        <f>F440*G440</f>
        <v>0.39269999999999999</v>
      </c>
      <c r="I440" s="397">
        <v>2</v>
      </c>
      <c r="J440" s="397">
        <f>H440*I440</f>
        <v>0.78539999999999999</v>
      </c>
      <c r="K440" s="397">
        <f>J440*2</f>
        <v>1.5708</v>
      </c>
      <c r="L440" s="397" t="s">
        <v>100</v>
      </c>
      <c r="M440" s="397" t="s">
        <v>100</v>
      </c>
      <c r="N440" s="397" t="s">
        <v>100</v>
      </c>
      <c r="O440" s="397">
        <f>SUM(K440:N440)</f>
        <v>1.5708</v>
      </c>
    </row>
    <row r="441" spans="1:15">
      <c r="A441" s="811"/>
      <c r="B441" s="811"/>
      <c r="C441" s="811"/>
      <c r="D441" s="811"/>
      <c r="E441" s="813"/>
      <c r="F441" s="813"/>
      <c r="G441" s="813"/>
      <c r="H441" s="813"/>
      <c r="I441" s="813"/>
      <c r="J441" s="813"/>
      <c r="K441" s="813"/>
      <c r="L441" s="813"/>
      <c r="M441" s="813"/>
      <c r="N441" s="813"/>
      <c r="O441" s="813"/>
    </row>
    <row r="442" spans="1:15" ht="15.75">
      <c r="A442" s="811"/>
      <c r="B442" s="811"/>
      <c r="C442" s="811"/>
      <c r="D442" s="811"/>
      <c r="E442" s="811"/>
      <c r="F442" s="811"/>
      <c r="G442" s="811"/>
      <c r="H442" s="811"/>
      <c r="I442" s="393" t="s">
        <v>2063</v>
      </c>
      <c r="J442" s="397">
        <f>SUM(J437:J440)</f>
        <v>16.626000000000001</v>
      </c>
      <c r="K442" s="815"/>
      <c r="L442" s="815"/>
      <c r="M442" s="815"/>
      <c r="N442" s="393" t="s">
        <v>2063</v>
      </c>
      <c r="O442" s="397">
        <f>SUM(O437:O440)</f>
        <v>33.252000000000002</v>
      </c>
    </row>
    <row r="443" spans="1:15">
      <c r="A443" s="811"/>
      <c r="B443" s="811"/>
      <c r="C443" s="811"/>
      <c r="D443" s="811"/>
      <c r="E443" s="811"/>
      <c r="F443" s="811"/>
      <c r="G443" s="811"/>
      <c r="H443" s="811"/>
      <c r="I443" s="811"/>
      <c r="J443" s="811"/>
      <c r="K443" s="811"/>
      <c r="L443" s="811"/>
      <c r="M443" s="811"/>
      <c r="N443" s="811"/>
      <c r="O443" s="811"/>
    </row>
    <row r="444" spans="1:15">
      <c r="A444" s="811"/>
      <c r="B444" s="811"/>
      <c r="C444" s="811"/>
      <c r="D444" s="811"/>
      <c r="E444" s="811"/>
      <c r="F444" s="811"/>
      <c r="G444" s="811"/>
      <c r="H444" s="811"/>
      <c r="I444" s="811"/>
      <c r="J444" s="811"/>
      <c r="K444" s="811"/>
      <c r="L444" s="811"/>
      <c r="M444" s="811"/>
      <c r="N444" s="811"/>
      <c r="O444" s="811"/>
    </row>
    <row r="445" spans="1:15" ht="78.75">
      <c r="A445" s="811"/>
      <c r="B445" s="811"/>
      <c r="C445" s="811"/>
      <c r="D445" s="811" t="s">
        <v>2088</v>
      </c>
      <c r="E445" s="393" t="s">
        <v>2072</v>
      </c>
      <c r="F445" s="394" t="s">
        <v>2071</v>
      </c>
      <c r="G445" s="393" t="s">
        <v>2070</v>
      </c>
      <c r="H445" s="393" t="s">
        <v>2060</v>
      </c>
      <c r="I445" s="393" t="s">
        <v>2059</v>
      </c>
      <c r="J445" s="393" t="s">
        <v>2069</v>
      </c>
      <c r="K445" s="394" t="s">
        <v>2068</v>
      </c>
      <c r="L445" s="394" t="s">
        <v>2057</v>
      </c>
      <c r="M445" s="394" t="s">
        <v>2056</v>
      </c>
      <c r="N445" s="394" t="s">
        <v>2067</v>
      </c>
      <c r="O445" s="394" t="s">
        <v>2066</v>
      </c>
    </row>
    <row r="446" spans="1:15" ht="15.75">
      <c r="A446" s="811"/>
      <c r="B446" s="811"/>
      <c r="C446" s="811"/>
      <c r="D446" s="811"/>
      <c r="E446" s="393" t="s">
        <v>2065</v>
      </c>
      <c r="F446" s="390"/>
      <c r="G446" s="390"/>
      <c r="H446" s="390"/>
      <c r="I446" s="390"/>
      <c r="J446" s="390"/>
      <c r="K446" s="390"/>
      <c r="L446" s="390"/>
      <c r="M446" s="390"/>
      <c r="N446" s="390"/>
      <c r="O446" s="390"/>
    </row>
    <row r="447" spans="1:15">
      <c r="A447" s="811"/>
      <c r="B447" s="811"/>
      <c r="C447" s="811"/>
      <c r="D447" s="811"/>
      <c r="E447" s="397" t="s">
        <v>2109</v>
      </c>
      <c r="F447" s="397">
        <v>0.9</v>
      </c>
      <c r="G447" s="397">
        <v>0.24</v>
      </c>
      <c r="H447" s="397">
        <f>F447*G447</f>
        <v>0.216</v>
      </c>
      <c r="I447" s="397">
        <v>5</v>
      </c>
      <c r="J447" s="397">
        <f>H447*I447</f>
        <v>1.08</v>
      </c>
      <c r="K447" s="397">
        <f>J447*2</f>
        <v>2.16</v>
      </c>
      <c r="L447" s="397" t="s">
        <v>100</v>
      </c>
      <c r="M447" s="397" t="s">
        <v>100</v>
      </c>
      <c r="N447" s="397" t="s">
        <v>100</v>
      </c>
      <c r="O447" s="397">
        <f>SUM(K447:N447)</f>
        <v>2.16</v>
      </c>
    </row>
    <row r="448" spans="1:15">
      <c r="A448" s="811"/>
      <c r="B448" s="811"/>
      <c r="C448" s="811"/>
      <c r="D448" s="811"/>
      <c r="E448" s="397" t="s">
        <v>2098</v>
      </c>
      <c r="F448" s="397">
        <v>0.39</v>
      </c>
      <c r="G448" s="397">
        <v>0.39</v>
      </c>
      <c r="H448" s="397">
        <f>F448*G448</f>
        <v>0.15210000000000001</v>
      </c>
      <c r="I448" s="397">
        <v>5</v>
      </c>
      <c r="J448" s="397">
        <f>H448*I448</f>
        <v>0.76050000000000006</v>
      </c>
      <c r="K448" s="397">
        <f>J448*2</f>
        <v>1.5210000000000001</v>
      </c>
      <c r="L448" s="397" t="s">
        <v>100</v>
      </c>
      <c r="M448" s="397" t="s">
        <v>100</v>
      </c>
      <c r="N448" s="397" t="s">
        <v>100</v>
      </c>
      <c r="O448" s="397">
        <f>SUM(K448:N448)</f>
        <v>1.5210000000000001</v>
      </c>
    </row>
    <row r="449" spans="1:15">
      <c r="A449" s="811"/>
      <c r="B449" s="811"/>
      <c r="C449" s="811"/>
      <c r="D449" s="811"/>
      <c r="E449" s="813"/>
      <c r="F449" s="813"/>
      <c r="G449" s="813"/>
      <c r="H449" s="813"/>
      <c r="I449" s="813"/>
      <c r="J449" s="813"/>
      <c r="K449" s="813"/>
      <c r="L449" s="813"/>
      <c r="M449" s="813"/>
      <c r="N449" s="813"/>
      <c r="O449" s="813"/>
    </row>
    <row r="450" spans="1:15" ht="15.75">
      <c r="A450" s="811"/>
      <c r="B450" s="811"/>
      <c r="C450" s="811"/>
      <c r="D450" s="811"/>
      <c r="E450" s="811"/>
      <c r="F450" s="811"/>
      <c r="G450" s="811"/>
      <c r="H450" s="811"/>
      <c r="I450" s="393" t="s">
        <v>2063</v>
      </c>
      <c r="J450" s="397">
        <f>SUM(J447:J448)</f>
        <v>1.8405</v>
      </c>
      <c r="K450" s="815"/>
      <c r="L450" s="815"/>
      <c r="M450" s="815"/>
      <c r="N450" s="393" t="s">
        <v>2063</v>
      </c>
      <c r="O450" s="397">
        <f>SUM(O447:O448)</f>
        <v>3.681</v>
      </c>
    </row>
    <row r="451" spans="1:15" ht="15.75">
      <c r="A451" s="811"/>
      <c r="B451" s="811"/>
      <c r="C451" s="811"/>
      <c r="D451" s="811"/>
      <c r="E451" s="811"/>
      <c r="F451" s="811"/>
      <c r="G451" s="811"/>
      <c r="H451" s="811"/>
      <c r="I451" s="811"/>
      <c r="J451" s="811"/>
      <c r="K451" s="811"/>
      <c r="L451" s="811"/>
      <c r="M451" s="811"/>
      <c r="N451" s="811"/>
      <c r="O451" s="811"/>
    </row>
    <row r="452" spans="1:15" ht="78.75">
      <c r="A452" s="811"/>
      <c r="B452" s="811"/>
      <c r="C452" s="811"/>
      <c r="D452" s="811" t="s">
        <v>2087</v>
      </c>
      <c r="E452" s="393" t="s">
        <v>2072</v>
      </c>
      <c r="F452" s="394" t="s">
        <v>2071</v>
      </c>
      <c r="G452" s="393" t="s">
        <v>2070</v>
      </c>
      <c r="H452" s="393" t="s">
        <v>2060</v>
      </c>
      <c r="I452" s="393" t="s">
        <v>2059</v>
      </c>
      <c r="J452" s="393" t="s">
        <v>2069</v>
      </c>
      <c r="K452" s="394" t="s">
        <v>2068</v>
      </c>
      <c r="L452" s="394" t="s">
        <v>2057</v>
      </c>
      <c r="M452" s="394" t="s">
        <v>2056</v>
      </c>
      <c r="N452" s="394" t="s">
        <v>2067</v>
      </c>
      <c r="O452" s="394" t="s">
        <v>2066</v>
      </c>
    </row>
    <row r="453" spans="1:15" ht="15.75">
      <c r="A453" s="811"/>
      <c r="B453" s="811"/>
      <c r="C453" s="811"/>
      <c r="D453" s="811"/>
      <c r="E453" s="393" t="s">
        <v>2065</v>
      </c>
      <c r="F453" s="390"/>
      <c r="G453" s="390"/>
      <c r="H453" s="390"/>
      <c r="I453" s="390"/>
      <c r="J453" s="390"/>
      <c r="K453" s="390"/>
      <c r="L453" s="390"/>
      <c r="M453" s="390"/>
      <c r="N453" s="390"/>
      <c r="O453" s="390"/>
    </row>
    <row r="454" spans="1:15">
      <c r="A454" s="811"/>
      <c r="B454" s="811"/>
      <c r="C454" s="811"/>
      <c r="D454" s="811"/>
      <c r="E454" s="397" t="s">
        <v>2109</v>
      </c>
      <c r="F454" s="397">
        <v>0.9</v>
      </c>
      <c r="G454" s="397">
        <v>0.24</v>
      </c>
      <c r="H454" s="397">
        <f>F454*G454</f>
        <v>0.216</v>
      </c>
      <c r="I454" s="397">
        <v>5</v>
      </c>
      <c r="J454" s="397">
        <f>H454*I454</f>
        <v>1.08</v>
      </c>
      <c r="K454" s="397">
        <f>J454*2</f>
        <v>2.16</v>
      </c>
      <c r="L454" s="397" t="s">
        <v>100</v>
      </c>
      <c r="M454" s="397" t="s">
        <v>100</v>
      </c>
      <c r="N454" s="397" t="s">
        <v>100</v>
      </c>
      <c r="O454" s="397">
        <f>SUM(K454:N454)</f>
        <v>2.16</v>
      </c>
    </row>
    <row r="455" spans="1:15">
      <c r="A455" s="811"/>
      <c r="B455" s="811"/>
      <c r="C455" s="811"/>
      <c r="D455" s="811"/>
      <c r="E455" s="397" t="s">
        <v>2098</v>
      </c>
      <c r="F455" s="397">
        <v>0.39</v>
      </c>
      <c r="G455" s="397">
        <v>0.39</v>
      </c>
      <c r="H455" s="397">
        <f>F455*G455</f>
        <v>0.15210000000000001</v>
      </c>
      <c r="I455" s="397">
        <v>5</v>
      </c>
      <c r="J455" s="397">
        <f>H455*I455</f>
        <v>0.76050000000000006</v>
      </c>
      <c r="K455" s="397">
        <f>J455*2</f>
        <v>1.5210000000000001</v>
      </c>
      <c r="L455" s="397" t="s">
        <v>100</v>
      </c>
      <c r="M455" s="397" t="s">
        <v>100</v>
      </c>
      <c r="N455" s="397" t="s">
        <v>100</v>
      </c>
      <c r="O455" s="397">
        <f>SUM(K455:N455)</f>
        <v>1.5210000000000001</v>
      </c>
    </row>
    <row r="456" spans="1:15">
      <c r="A456" s="811"/>
      <c r="B456" s="811"/>
      <c r="C456" s="811"/>
      <c r="D456" s="811"/>
      <c r="E456" s="813"/>
      <c r="F456" s="813"/>
      <c r="G456" s="813"/>
      <c r="H456" s="813"/>
      <c r="I456" s="813"/>
      <c r="J456" s="813"/>
      <c r="K456" s="813"/>
      <c r="L456" s="813"/>
      <c r="M456" s="813"/>
      <c r="N456" s="813"/>
      <c r="O456" s="813"/>
    </row>
    <row r="457" spans="1:15" ht="15.75">
      <c r="A457" s="811"/>
      <c r="B457" s="811"/>
      <c r="C457" s="811"/>
      <c r="D457" s="811"/>
      <c r="E457" s="811"/>
      <c r="F457" s="811"/>
      <c r="G457" s="811"/>
      <c r="H457" s="811"/>
      <c r="I457" s="393" t="s">
        <v>2063</v>
      </c>
      <c r="J457" s="397">
        <f>SUM(J454:J455)</f>
        <v>1.8405</v>
      </c>
      <c r="K457" s="815"/>
      <c r="L457" s="815"/>
      <c r="M457" s="815"/>
      <c r="N457" s="393" t="s">
        <v>2063</v>
      </c>
      <c r="O457" s="397">
        <f>SUM(O454:O455)</f>
        <v>3.681</v>
      </c>
    </row>
    <row r="458" spans="1:15" ht="15.75">
      <c r="A458" s="811"/>
      <c r="B458" s="811"/>
      <c r="C458" s="811"/>
      <c r="D458" s="811"/>
      <c r="E458" s="811"/>
      <c r="F458" s="811"/>
      <c r="G458" s="811"/>
      <c r="H458" s="811"/>
      <c r="I458" s="811"/>
      <c r="J458" s="811"/>
      <c r="K458" s="811"/>
      <c r="L458" s="811"/>
      <c r="M458" s="811"/>
      <c r="N458" s="811"/>
      <c r="O458" s="811"/>
    </row>
    <row r="459" spans="1:15" ht="78.75">
      <c r="A459" s="811"/>
      <c r="B459" s="811"/>
      <c r="C459" s="811"/>
      <c r="D459" s="811" t="s">
        <v>2086</v>
      </c>
      <c r="E459" s="393" t="s">
        <v>2072</v>
      </c>
      <c r="F459" s="394" t="s">
        <v>2071</v>
      </c>
      <c r="G459" s="393" t="s">
        <v>2070</v>
      </c>
      <c r="H459" s="393" t="s">
        <v>2060</v>
      </c>
      <c r="I459" s="393" t="s">
        <v>2059</v>
      </c>
      <c r="J459" s="393" t="s">
        <v>2069</v>
      </c>
      <c r="K459" s="394" t="s">
        <v>2068</v>
      </c>
      <c r="L459" s="394" t="s">
        <v>2057</v>
      </c>
      <c r="M459" s="394" t="s">
        <v>2056</v>
      </c>
      <c r="N459" s="394" t="s">
        <v>2067</v>
      </c>
      <c r="O459" s="394" t="s">
        <v>2066</v>
      </c>
    </row>
    <row r="460" spans="1:15" ht="15.75">
      <c r="A460" s="811"/>
      <c r="B460" s="811"/>
      <c r="C460" s="811"/>
      <c r="D460" s="811"/>
      <c r="E460" s="393" t="s">
        <v>2065</v>
      </c>
      <c r="F460" s="390"/>
      <c r="G460" s="390"/>
      <c r="H460" s="390"/>
      <c r="I460" s="390"/>
      <c r="J460" s="390"/>
      <c r="K460" s="390"/>
      <c r="L460" s="390"/>
      <c r="M460" s="390"/>
      <c r="N460" s="390"/>
      <c r="O460" s="390"/>
    </row>
    <row r="461" spans="1:15">
      <c r="A461" s="811"/>
      <c r="B461" s="811"/>
      <c r="C461" s="811"/>
      <c r="D461" s="811"/>
      <c r="E461" s="397" t="s">
        <v>2109</v>
      </c>
      <c r="F461" s="397">
        <v>0.9</v>
      </c>
      <c r="G461" s="397">
        <v>0.24</v>
      </c>
      <c r="H461" s="397">
        <f>F461*G461</f>
        <v>0.216</v>
      </c>
      <c r="I461" s="397">
        <v>5</v>
      </c>
      <c r="J461" s="397">
        <f>H461*I461</f>
        <v>1.08</v>
      </c>
      <c r="K461" s="397">
        <f>J461*2</f>
        <v>2.16</v>
      </c>
      <c r="L461" s="397" t="s">
        <v>100</v>
      </c>
      <c r="M461" s="397" t="s">
        <v>100</v>
      </c>
      <c r="N461" s="397" t="s">
        <v>100</v>
      </c>
      <c r="O461" s="397">
        <f>SUM(K461:N461)</f>
        <v>2.16</v>
      </c>
    </row>
    <row r="462" spans="1:15">
      <c r="A462" s="811"/>
      <c r="B462" s="811"/>
      <c r="C462" s="811"/>
      <c r="D462" s="811"/>
      <c r="E462" s="397" t="s">
        <v>2098</v>
      </c>
      <c r="F462" s="397">
        <v>0.39</v>
      </c>
      <c r="G462" s="397">
        <v>0.39</v>
      </c>
      <c r="H462" s="397">
        <f>F462*G462</f>
        <v>0.15210000000000001</v>
      </c>
      <c r="I462" s="397">
        <v>5</v>
      </c>
      <c r="J462" s="397">
        <f>H462*I462</f>
        <v>0.76050000000000006</v>
      </c>
      <c r="K462" s="397">
        <f>J462*2</f>
        <v>1.5210000000000001</v>
      </c>
      <c r="L462" s="397" t="s">
        <v>100</v>
      </c>
      <c r="M462" s="397" t="s">
        <v>100</v>
      </c>
      <c r="N462" s="397" t="s">
        <v>100</v>
      </c>
      <c r="O462" s="397">
        <f>SUM(K462:N462)</f>
        <v>1.5210000000000001</v>
      </c>
    </row>
    <row r="463" spans="1:15">
      <c r="A463" s="811"/>
      <c r="B463" s="811"/>
      <c r="C463" s="811"/>
      <c r="D463" s="811"/>
      <c r="E463" s="813"/>
      <c r="F463" s="813"/>
      <c r="G463" s="813"/>
      <c r="H463" s="813"/>
      <c r="I463" s="813"/>
      <c r="J463" s="813"/>
      <c r="K463" s="813"/>
      <c r="L463" s="813"/>
      <c r="M463" s="813"/>
      <c r="N463" s="813"/>
      <c r="O463" s="813"/>
    </row>
    <row r="464" spans="1:15" ht="15.75">
      <c r="A464" s="811"/>
      <c r="B464" s="811"/>
      <c r="C464" s="811"/>
      <c r="D464" s="811"/>
      <c r="E464" s="811"/>
      <c r="F464" s="811"/>
      <c r="G464" s="811"/>
      <c r="H464" s="811"/>
      <c r="I464" s="393" t="s">
        <v>2063</v>
      </c>
      <c r="J464" s="397">
        <f>SUM(J461:J462)</f>
        <v>1.8405</v>
      </c>
      <c r="K464" s="815"/>
      <c r="L464" s="815"/>
      <c r="M464" s="815"/>
      <c r="N464" s="393" t="s">
        <v>2063</v>
      </c>
      <c r="O464" s="397">
        <f>SUM(O461:O462)</f>
        <v>3.681</v>
      </c>
    </row>
    <row r="465" spans="1:15" ht="15.75">
      <c r="A465" s="811"/>
      <c r="B465" s="811"/>
      <c r="C465" s="811"/>
      <c r="D465" s="811"/>
      <c r="E465" s="811"/>
      <c r="F465" s="811"/>
      <c r="G465" s="811"/>
      <c r="H465" s="811"/>
      <c r="I465" s="811"/>
      <c r="J465" s="811"/>
      <c r="K465" s="811"/>
      <c r="L465" s="811"/>
      <c r="M465" s="811"/>
      <c r="N465" s="811"/>
      <c r="O465" s="811"/>
    </row>
    <row r="466" spans="1:15" ht="78.75">
      <c r="A466" s="811"/>
      <c r="B466" s="811"/>
      <c r="C466" s="811"/>
      <c r="D466" s="811" t="s">
        <v>2085</v>
      </c>
      <c r="E466" s="393" t="s">
        <v>2072</v>
      </c>
      <c r="F466" s="394" t="s">
        <v>2071</v>
      </c>
      <c r="G466" s="393" t="s">
        <v>2070</v>
      </c>
      <c r="H466" s="393" t="s">
        <v>2060</v>
      </c>
      <c r="I466" s="393" t="s">
        <v>2059</v>
      </c>
      <c r="J466" s="393" t="s">
        <v>2069</v>
      </c>
      <c r="K466" s="394" t="s">
        <v>2068</v>
      </c>
      <c r="L466" s="394" t="s">
        <v>2057</v>
      </c>
      <c r="M466" s="394" t="s">
        <v>2056</v>
      </c>
      <c r="N466" s="394" t="s">
        <v>2067</v>
      </c>
      <c r="O466" s="394" t="s">
        <v>2066</v>
      </c>
    </row>
    <row r="467" spans="1:15" ht="15.75">
      <c r="A467" s="811"/>
      <c r="B467" s="811"/>
      <c r="C467" s="811"/>
      <c r="D467" s="811"/>
      <c r="E467" s="393" t="s">
        <v>2065</v>
      </c>
      <c r="F467" s="390"/>
      <c r="G467" s="390"/>
      <c r="H467" s="390"/>
      <c r="I467" s="390"/>
      <c r="J467" s="390"/>
      <c r="K467" s="390"/>
      <c r="L467" s="390"/>
      <c r="M467" s="390"/>
      <c r="N467" s="390"/>
      <c r="O467" s="390"/>
    </row>
    <row r="468" spans="1:15">
      <c r="A468" s="811"/>
      <c r="B468" s="811"/>
      <c r="C468" s="811"/>
      <c r="D468" s="811"/>
      <c r="E468" s="397" t="s">
        <v>2109</v>
      </c>
      <c r="F468" s="397">
        <v>0.9</v>
      </c>
      <c r="G468" s="397">
        <v>0.24</v>
      </c>
      <c r="H468" s="397">
        <f>F468*G468</f>
        <v>0.216</v>
      </c>
      <c r="I468" s="397">
        <v>5</v>
      </c>
      <c r="J468" s="397">
        <f>H468*I468</f>
        <v>1.08</v>
      </c>
      <c r="K468" s="397">
        <f>J468*2</f>
        <v>2.16</v>
      </c>
      <c r="L468" s="397" t="s">
        <v>100</v>
      </c>
      <c r="M468" s="397" t="s">
        <v>100</v>
      </c>
      <c r="N468" s="397" t="s">
        <v>100</v>
      </c>
      <c r="O468" s="397">
        <f>SUM(K468:N468)</f>
        <v>2.16</v>
      </c>
    </row>
    <row r="469" spans="1:15">
      <c r="A469" s="811"/>
      <c r="B469" s="811"/>
      <c r="C469" s="811"/>
      <c r="D469" s="811"/>
      <c r="E469" s="397" t="s">
        <v>2098</v>
      </c>
      <c r="F469" s="397">
        <v>0.39</v>
      </c>
      <c r="G469" s="397">
        <v>0.39</v>
      </c>
      <c r="H469" s="397">
        <f>F469*G469</f>
        <v>0.15210000000000001</v>
      </c>
      <c r="I469" s="397">
        <v>5</v>
      </c>
      <c r="J469" s="397">
        <f>H469*I469</f>
        <v>0.76050000000000006</v>
      </c>
      <c r="K469" s="397">
        <f>J469*2</f>
        <v>1.5210000000000001</v>
      </c>
      <c r="L469" s="397" t="s">
        <v>100</v>
      </c>
      <c r="M469" s="397" t="s">
        <v>100</v>
      </c>
      <c r="N469" s="397" t="s">
        <v>100</v>
      </c>
      <c r="O469" s="397">
        <f>SUM(K469:N469)</f>
        <v>1.5210000000000001</v>
      </c>
    </row>
    <row r="470" spans="1:15">
      <c r="A470" s="811"/>
      <c r="B470" s="811"/>
      <c r="C470" s="811"/>
      <c r="D470" s="811"/>
      <c r="E470" s="813"/>
      <c r="F470" s="813"/>
      <c r="G470" s="813"/>
      <c r="H470" s="813"/>
      <c r="I470" s="813"/>
      <c r="J470" s="813"/>
      <c r="K470" s="813"/>
      <c r="L470" s="813"/>
      <c r="M470" s="813"/>
      <c r="N470" s="813"/>
      <c r="O470" s="813"/>
    </row>
    <row r="471" spans="1:15" ht="15.75">
      <c r="A471" s="811"/>
      <c r="B471" s="811"/>
      <c r="C471" s="811"/>
      <c r="D471" s="811"/>
      <c r="E471" s="811"/>
      <c r="F471" s="811"/>
      <c r="G471" s="811"/>
      <c r="H471" s="811"/>
      <c r="I471" s="393" t="s">
        <v>2063</v>
      </c>
      <c r="J471" s="397">
        <f>SUM(J468:J469)</f>
        <v>1.8405</v>
      </c>
      <c r="K471" s="815"/>
      <c r="L471" s="815"/>
      <c r="M471" s="815"/>
      <c r="N471" s="393" t="s">
        <v>2063</v>
      </c>
      <c r="O471" s="397">
        <f>SUM(O468:O469)</f>
        <v>3.681</v>
      </c>
    </row>
    <row r="472" spans="1:15" ht="15.75">
      <c r="A472" s="811"/>
      <c r="B472" s="811"/>
      <c r="C472" s="811"/>
      <c r="D472" s="811"/>
      <c r="E472" s="811"/>
      <c r="F472" s="811"/>
      <c r="G472" s="811"/>
      <c r="H472" s="811"/>
      <c r="I472" s="811"/>
      <c r="J472" s="811"/>
      <c r="K472" s="811"/>
      <c r="L472" s="811"/>
      <c r="M472" s="811"/>
      <c r="N472" s="811"/>
      <c r="O472" s="811"/>
    </row>
    <row r="473" spans="1:15" ht="78.75">
      <c r="A473" s="811"/>
      <c r="B473" s="811"/>
      <c r="C473" s="810" t="s">
        <v>2063</v>
      </c>
      <c r="D473" s="810"/>
      <c r="E473" s="396" t="s">
        <v>100</v>
      </c>
      <c r="F473" s="396" t="s">
        <v>2062</v>
      </c>
      <c r="G473" s="396" t="s">
        <v>2061</v>
      </c>
      <c r="H473" s="396" t="s">
        <v>2060</v>
      </c>
      <c r="I473" s="396" t="s">
        <v>2059</v>
      </c>
      <c r="J473" s="396" t="s">
        <v>2054</v>
      </c>
      <c r="K473" s="395" t="s">
        <v>2058</v>
      </c>
      <c r="L473" s="395" t="s">
        <v>2057</v>
      </c>
      <c r="M473" s="395" t="s">
        <v>2056</v>
      </c>
      <c r="N473" s="395" t="s">
        <v>2055</v>
      </c>
      <c r="O473" s="395" t="s">
        <v>2054</v>
      </c>
    </row>
    <row r="474" spans="1:15">
      <c r="A474" s="811"/>
      <c r="B474" s="811"/>
      <c r="C474" s="810"/>
      <c r="D474" s="810"/>
      <c r="E474" s="392"/>
      <c r="F474" s="392"/>
      <c r="G474" s="392"/>
      <c r="H474" s="392"/>
      <c r="I474" s="391">
        <f>SUM(I437:I440,I447:I448,I454:I455,I461:I462,I468:I469)</f>
        <v>50</v>
      </c>
      <c r="J474" s="391">
        <f>SUM(J442,J450,J457,J464,J471)</f>
        <v>23.987999999999996</v>
      </c>
      <c r="K474" s="391">
        <f>SUM(K437:K440,K447:K448,K454:K455,K461:K462,K468:K469)</f>
        <v>47.975999999999999</v>
      </c>
      <c r="L474" s="391">
        <f>SUM(L464,L465,L469)</f>
        <v>0</v>
      </c>
      <c r="M474" s="391">
        <f>SUM(M464,M465,M469)</f>
        <v>0</v>
      </c>
      <c r="N474" s="391">
        <f>SUM(N464,N465,N469)</f>
        <v>0</v>
      </c>
      <c r="O474" s="391">
        <f>SUM(O442,O450,O457,O464,O471)</f>
        <v>47.975999999999992</v>
      </c>
    </row>
    <row r="475" spans="1:15" ht="15.75">
      <c r="A475" s="811"/>
      <c r="B475" s="811"/>
      <c r="C475" s="811"/>
      <c r="D475" s="811"/>
      <c r="E475" s="811"/>
      <c r="F475" s="811"/>
      <c r="G475" s="811"/>
      <c r="H475" s="811"/>
      <c r="I475" s="811"/>
      <c r="J475" s="811"/>
      <c r="K475" s="811"/>
      <c r="L475" s="811"/>
      <c r="M475" s="811"/>
      <c r="N475" s="811"/>
      <c r="O475" s="811"/>
    </row>
    <row r="478" spans="1:15" ht="18.75">
      <c r="A478" s="814" t="s">
        <v>2108</v>
      </c>
      <c r="B478" s="814"/>
      <c r="C478" s="814"/>
      <c r="D478" s="814"/>
      <c r="E478" s="814"/>
      <c r="F478" s="814"/>
      <c r="G478" s="814"/>
      <c r="H478" s="814"/>
      <c r="I478" s="814"/>
      <c r="J478" s="814"/>
      <c r="K478" s="814"/>
      <c r="L478" s="814"/>
      <c r="M478" s="814"/>
      <c r="N478" s="814"/>
    </row>
    <row r="479" spans="1:15" ht="78.75">
      <c r="A479" s="811" t="s">
        <v>2107</v>
      </c>
      <c r="B479" s="811" t="s">
        <v>2106</v>
      </c>
      <c r="C479" s="811"/>
      <c r="D479" s="393" t="s">
        <v>100</v>
      </c>
      <c r="E479" s="393" t="s">
        <v>2095</v>
      </c>
      <c r="F479" s="393" t="s">
        <v>2094</v>
      </c>
      <c r="G479" s="393" t="s">
        <v>2060</v>
      </c>
      <c r="H479" s="393" t="s">
        <v>2059</v>
      </c>
      <c r="I479" s="393" t="s">
        <v>2054</v>
      </c>
      <c r="J479" s="394" t="s">
        <v>2058</v>
      </c>
      <c r="K479" s="394" t="s">
        <v>2057</v>
      </c>
      <c r="L479" s="394" t="s">
        <v>2056</v>
      </c>
      <c r="M479" s="394" t="s">
        <v>2055</v>
      </c>
      <c r="N479" s="394" t="s">
        <v>2054</v>
      </c>
    </row>
    <row r="480" spans="1:15">
      <c r="A480" s="811"/>
      <c r="B480" s="811"/>
      <c r="C480" s="811"/>
      <c r="D480" s="397" t="s">
        <v>2105</v>
      </c>
      <c r="E480" s="397">
        <v>0.49</v>
      </c>
      <c r="F480" s="397">
        <v>0.45</v>
      </c>
      <c r="G480" s="397">
        <f>E480*F480</f>
        <v>0.2205</v>
      </c>
      <c r="H480" s="397">
        <v>1</v>
      </c>
      <c r="I480" s="397">
        <f>G480*H480</f>
        <v>0.2205</v>
      </c>
      <c r="J480" s="397">
        <f>I480*2</f>
        <v>0.441</v>
      </c>
      <c r="K480" s="397" t="s">
        <v>100</v>
      </c>
      <c r="L480" s="397" t="s">
        <v>100</v>
      </c>
      <c r="M480" s="397" t="s">
        <v>100</v>
      </c>
      <c r="N480" s="397">
        <f>SUM(J480:M480)</f>
        <v>0.441</v>
      </c>
    </row>
    <row r="481" spans="1:14">
      <c r="A481" s="811"/>
      <c r="B481" s="811"/>
      <c r="C481" s="811"/>
      <c r="D481" s="397" t="s">
        <v>2104</v>
      </c>
      <c r="E481" s="397">
        <v>0.5</v>
      </c>
      <c r="F481" s="397">
        <v>0.5</v>
      </c>
      <c r="G481" s="397">
        <f>E481*F481</f>
        <v>0.25</v>
      </c>
      <c r="H481" s="397">
        <v>3</v>
      </c>
      <c r="I481" s="397">
        <f>G481*H481</f>
        <v>0.75</v>
      </c>
      <c r="J481" s="397">
        <f>I481*2</f>
        <v>1.5</v>
      </c>
      <c r="K481" s="397" t="s">
        <v>100</v>
      </c>
      <c r="L481" s="397" t="s">
        <v>100</v>
      </c>
      <c r="M481" s="397" t="s">
        <v>100</v>
      </c>
      <c r="N481" s="397">
        <f>SUM(J481:M481)</f>
        <v>1.5</v>
      </c>
    </row>
    <row r="482" spans="1:14">
      <c r="A482" s="811"/>
      <c r="B482" s="811"/>
      <c r="C482" s="811"/>
      <c r="D482" s="397" t="s">
        <v>2103</v>
      </c>
      <c r="E482" s="397">
        <v>0.49</v>
      </c>
      <c r="F482" s="397">
        <v>0.45</v>
      </c>
      <c r="G482" s="397">
        <f>E482*F482</f>
        <v>0.2205</v>
      </c>
      <c r="H482" s="397">
        <v>1</v>
      </c>
      <c r="I482" s="397">
        <f>G482*H482</f>
        <v>0.2205</v>
      </c>
      <c r="J482" s="397">
        <f>I482*2</f>
        <v>0.441</v>
      </c>
      <c r="K482" s="397" t="s">
        <v>100</v>
      </c>
      <c r="L482" s="397" t="s">
        <v>100</v>
      </c>
      <c r="M482" s="397" t="s">
        <v>100</v>
      </c>
      <c r="N482" s="397">
        <f>SUM(J482:M482)</f>
        <v>0.441</v>
      </c>
    </row>
    <row r="483" spans="1:14">
      <c r="A483" s="811"/>
      <c r="B483" s="811"/>
      <c r="C483" s="811"/>
      <c r="D483" s="815"/>
      <c r="E483" s="815"/>
      <c r="F483" s="815"/>
      <c r="G483" s="815"/>
      <c r="H483" s="815"/>
      <c r="I483" s="815"/>
      <c r="J483" s="815"/>
      <c r="K483" s="815"/>
      <c r="L483" s="815"/>
      <c r="M483" s="815"/>
      <c r="N483" s="815"/>
    </row>
    <row r="484" spans="1:14" ht="15.75">
      <c r="A484" s="811"/>
      <c r="B484" s="811"/>
      <c r="C484" s="811"/>
      <c r="D484" s="815"/>
      <c r="E484" s="815"/>
      <c r="F484" s="815"/>
      <c r="G484" s="815"/>
      <c r="H484" s="401" t="s">
        <v>2091</v>
      </c>
      <c r="I484" s="398">
        <f>SUM(I480:I482)</f>
        <v>1.1910000000000001</v>
      </c>
      <c r="J484" s="815"/>
      <c r="K484" s="815"/>
      <c r="L484" s="815"/>
      <c r="M484" s="393" t="s">
        <v>2091</v>
      </c>
      <c r="N484" s="3">
        <f>SUM(N480:N482)</f>
        <v>2.3820000000000001</v>
      </c>
    </row>
    <row r="485" spans="1:14">
      <c r="A485" s="811"/>
      <c r="B485" s="817"/>
      <c r="C485" s="817"/>
      <c r="D485" s="817"/>
      <c r="E485" s="817"/>
      <c r="F485" s="817"/>
      <c r="G485" s="817"/>
      <c r="H485" s="817"/>
      <c r="I485" s="817"/>
      <c r="J485" s="817"/>
      <c r="K485" s="817"/>
      <c r="L485" s="817"/>
      <c r="M485" s="817"/>
      <c r="N485" s="817"/>
    </row>
    <row r="486" spans="1:14" ht="78.75">
      <c r="A486" s="811"/>
      <c r="B486" s="811" t="s">
        <v>2102</v>
      </c>
      <c r="C486" s="811" t="s">
        <v>510</v>
      </c>
      <c r="D486" s="393" t="s">
        <v>100</v>
      </c>
      <c r="E486" s="393" t="s">
        <v>2095</v>
      </c>
      <c r="F486" s="393" t="s">
        <v>2094</v>
      </c>
      <c r="G486" s="393" t="s">
        <v>2060</v>
      </c>
      <c r="H486" s="393" t="s">
        <v>2059</v>
      </c>
      <c r="I486" s="393" t="s">
        <v>2054</v>
      </c>
      <c r="J486" s="394" t="s">
        <v>2058</v>
      </c>
      <c r="K486" s="394" t="s">
        <v>2057</v>
      </c>
      <c r="L486" s="394" t="s">
        <v>2056</v>
      </c>
      <c r="M486" s="394" t="s">
        <v>2055</v>
      </c>
      <c r="N486" s="394" t="s">
        <v>2054</v>
      </c>
    </row>
    <row r="487" spans="1:14">
      <c r="A487" s="811"/>
      <c r="B487" s="811"/>
      <c r="C487" s="811"/>
      <c r="D487" s="397" t="s">
        <v>2093</v>
      </c>
      <c r="E487" s="397">
        <v>0.9</v>
      </c>
      <c r="F487" s="397">
        <v>0.24</v>
      </c>
      <c r="G487" s="397">
        <f>E487*F487</f>
        <v>0.216</v>
      </c>
      <c r="H487" s="397">
        <v>5</v>
      </c>
      <c r="I487" s="397">
        <f>G487*H487</f>
        <v>1.08</v>
      </c>
      <c r="J487" s="397">
        <f>I487*2</f>
        <v>2.16</v>
      </c>
      <c r="K487" s="397" t="s">
        <v>100</v>
      </c>
      <c r="L487" s="397" t="s">
        <v>100</v>
      </c>
      <c r="M487" s="397" t="s">
        <v>100</v>
      </c>
      <c r="N487" s="397">
        <f>SUM(J487:M487)</f>
        <v>2.16</v>
      </c>
    </row>
    <row r="488" spans="1:14">
      <c r="A488" s="811"/>
      <c r="B488" s="811"/>
      <c r="C488" s="811"/>
      <c r="D488" s="397" t="s">
        <v>2092</v>
      </c>
      <c r="E488" s="397">
        <v>0.39</v>
      </c>
      <c r="F488" s="397">
        <v>0.39</v>
      </c>
      <c r="G488" s="397">
        <f>E488*F488</f>
        <v>0.15210000000000001</v>
      </c>
      <c r="H488" s="397">
        <v>5</v>
      </c>
      <c r="I488" s="397">
        <f>G488*H488</f>
        <v>0.76050000000000006</v>
      </c>
      <c r="J488" s="397">
        <f>I488*2</f>
        <v>1.5210000000000001</v>
      </c>
      <c r="K488" s="397" t="s">
        <v>100</v>
      </c>
      <c r="L488" s="397" t="s">
        <v>100</v>
      </c>
      <c r="M488" s="397" t="s">
        <v>100</v>
      </c>
      <c r="N488" s="397">
        <f>SUM(J488:M488)</f>
        <v>1.5210000000000001</v>
      </c>
    </row>
    <row r="489" spans="1:14">
      <c r="A489" s="811"/>
      <c r="B489" s="811"/>
      <c r="C489" s="811"/>
      <c r="D489" s="815"/>
      <c r="E489" s="815"/>
      <c r="F489" s="815"/>
      <c r="G489" s="815"/>
      <c r="H489" s="815"/>
      <c r="I489" s="815"/>
      <c r="J489" s="815"/>
      <c r="K489" s="815"/>
      <c r="L489" s="815"/>
      <c r="M489" s="815"/>
      <c r="N489" s="815"/>
    </row>
    <row r="490" spans="1:14" ht="15.75">
      <c r="A490" s="811"/>
      <c r="B490" s="811"/>
      <c r="C490" s="811"/>
      <c r="D490" s="815"/>
      <c r="E490" s="815"/>
      <c r="F490" s="815"/>
      <c r="G490" s="815"/>
      <c r="H490" s="393" t="s">
        <v>2063</v>
      </c>
      <c r="I490" s="397">
        <f>SUM(I487:I488)</f>
        <v>1.8405</v>
      </c>
      <c r="J490" s="815"/>
      <c r="K490" s="815"/>
      <c r="L490" s="815"/>
      <c r="M490" s="393" t="s">
        <v>2091</v>
      </c>
      <c r="N490" s="397">
        <f>SUM(N487:N488)</f>
        <v>3.681</v>
      </c>
    </row>
    <row r="491" spans="1:14">
      <c r="A491" s="811"/>
      <c r="B491" s="811"/>
      <c r="C491" s="811" t="s">
        <v>536</v>
      </c>
      <c r="D491" s="398"/>
      <c r="E491" s="398"/>
      <c r="F491" s="398"/>
      <c r="G491" s="398"/>
      <c r="H491" s="398"/>
      <c r="I491" s="398"/>
      <c r="J491" s="398"/>
      <c r="K491" s="398"/>
      <c r="L491" s="398"/>
      <c r="M491" s="398"/>
      <c r="N491" s="398"/>
    </row>
    <row r="492" spans="1:14" ht="78.75">
      <c r="A492" s="811"/>
      <c r="B492" s="811"/>
      <c r="C492" s="811"/>
      <c r="D492" s="393" t="s">
        <v>100</v>
      </c>
      <c r="E492" s="393" t="s">
        <v>2095</v>
      </c>
      <c r="F492" s="393" t="s">
        <v>2094</v>
      </c>
      <c r="G492" s="393" t="s">
        <v>2060</v>
      </c>
      <c r="H492" s="393" t="s">
        <v>2059</v>
      </c>
      <c r="I492" s="393" t="s">
        <v>2054</v>
      </c>
      <c r="J492" s="394" t="s">
        <v>2058</v>
      </c>
      <c r="K492" s="394" t="s">
        <v>2057</v>
      </c>
      <c r="L492" s="394" t="s">
        <v>2056</v>
      </c>
      <c r="M492" s="394" t="s">
        <v>2055</v>
      </c>
      <c r="N492" s="394" t="s">
        <v>2054</v>
      </c>
    </row>
    <row r="493" spans="1:14">
      <c r="A493" s="811"/>
      <c r="B493" s="811"/>
      <c r="C493" s="811"/>
      <c r="D493" s="397" t="s">
        <v>2093</v>
      </c>
      <c r="E493" s="397">
        <v>0.9</v>
      </c>
      <c r="F493" s="397">
        <v>0.24</v>
      </c>
      <c r="G493" s="397">
        <f>E493*F493</f>
        <v>0.216</v>
      </c>
      <c r="H493" s="397">
        <v>6</v>
      </c>
      <c r="I493" s="397">
        <f>G493*H493</f>
        <v>1.296</v>
      </c>
      <c r="J493" s="397">
        <f>I493*2</f>
        <v>2.5920000000000001</v>
      </c>
      <c r="K493" s="397" t="s">
        <v>100</v>
      </c>
      <c r="L493" s="397" t="s">
        <v>100</v>
      </c>
      <c r="M493" s="397" t="s">
        <v>100</v>
      </c>
      <c r="N493" s="397">
        <f>SUM(J493:M493)</f>
        <v>2.5920000000000001</v>
      </c>
    </row>
    <row r="494" spans="1:14">
      <c r="A494" s="811"/>
      <c r="B494" s="811"/>
      <c r="C494" s="811"/>
      <c r="D494" s="397" t="s">
        <v>2092</v>
      </c>
      <c r="E494" s="397">
        <v>0.39</v>
      </c>
      <c r="F494" s="397">
        <v>0.39</v>
      </c>
      <c r="G494" s="397">
        <f>E494*F494</f>
        <v>0.15210000000000001</v>
      </c>
      <c r="H494" s="397">
        <v>6</v>
      </c>
      <c r="I494" s="397">
        <f>G494*H494</f>
        <v>0.91260000000000008</v>
      </c>
      <c r="J494" s="397">
        <f>I494*2</f>
        <v>1.8252000000000002</v>
      </c>
      <c r="K494" s="397" t="s">
        <v>100</v>
      </c>
      <c r="L494" s="397" t="s">
        <v>100</v>
      </c>
      <c r="M494" s="397" t="s">
        <v>100</v>
      </c>
      <c r="N494" s="397">
        <f>SUM(J494:M494)</f>
        <v>1.8252000000000002</v>
      </c>
    </row>
    <row r="495" spans="1:14">
      <c r="A495" s="811"/>
      <c r="B495" s="811"/>
      <c r="C495" s="811"/>
      <c r="D495" s="815"/>
      <c r="E495" s="815"/>
      <c r="F495" s="815"/>
      <c r="G495" s="815"/>
      <c r="H495" s="815"/>
      <c r="I495" s="815"/>
      <c r="J495" s="815"/>
      <c r="K495" s="815"/>
      <c r="L495" s="815"/>
      <c r="M495" s="815"/>
      <c r="N495" s="815"/>
    </row>
    <row r="496" spans="1:14" ht="15.75">
      <c r="A496" s="811"/>
      <c r="B496" s="811"/>
      <c r="C496" s="811"/>
      <c r="D496" s="815"/>
      <c r="E496" s="815"/>
      <c r="F496" s="815"/>
      <c r="G496" s="815"/>
      <c r="H496" s="393" t="s">
        <v>2063</v>
      </c>
      <c r="I496" s="397">
        <f>SUM(I493:I494)</f>
        <v>2.2086000000000001</v>
      </c>
      <c r="J496" s="815"/>
      <c r="K496" s="815"/>
      <c r="L496" s="815"/>
      <c r="M496" s="393" t="s">
        <v>2091</v>
      </c>
      <c r="N496" s="397">
        <f>SUM(N493:N494)</f>
        <v>4.4172000000000002</v>
      </c>
    </row>
    <row r="497" spans="1:14">
      <c r="A497" s="811"/>
      <c r="B497" s="811"/>
      <c r="C497" s="811" t="s">
        <v>2101</v>
      </c>
      <c r="D497" s="398"/>
      <c r="E497" s="398"/>
      <c r="F497" s="398"/>
      <c r="G497" s="398"/>
      <c r="H497" s="398"/>
      <c r="I497" s="398"/>
      <c r="J497" s="398"/>
      <c r="K497" s="398"/>
      <c r="L497" s="398"/>
      <c r="M497" s="398"/>
      <c r="N497" s="398"/>
    </row>
    <row r="498" spans="1:14" ht="78.75">
      <c r="A498" s="811"/>
      <c r="B498" s="811"/>
      <c r="C498" s="811"/>
      <c r="D498" s="393" t="s">
        <v>100</v>
      </c>
      <c r="E498" s="393" t="s">
        <v>2095</v>
      </c>
      <c r="F498" s="393" t="s">
        <v>2094</v>
      </c>
      <c r="G498" s="393" t="s">
        <v>2060</v>
      </c>
      <c r="H498" s="393" t="s">
        <v>2059</v>
      </c>
      <c r="I498" s="393" t="s">
        <v>2054</v>
      </c>
      <c r="J498" s="394" t="s">
        <v>2058</v>
      </c>
      <c r="K498" s="394" t="s">
        <v>2057</v>
      </c>
      <c r="L498" s="394" t="s">
        <v>2056</v>
      </c>
      <c r="M498" s="394" t="s">
        <v>2055</v>
      </c>
      <c r="N498" s="394" t="s">
        <v>2054</v>
      </c>
    </row>
    <row r="499" spans="1:14">
      <c r="A499" s="811"/>
      <c r="B499" s="811"/>
      <c r="C499" s="811"/>
      <c r="D499" s="397" t="s">
        <v>2093</v>
      </c>
      <c r="E499" s="397">
        <v>0.9</v>
      </c>
      <c r="F499" s="397">
        <v>0.24</v>
      </c>
      <c r="G499" s="397">
        <f>E499*F499</f>
        <v>0.216</v>
      </c>
      <c r="H499" s="397">
        <v>6</v>
      </c>
      <c r="I499" s="397">
        <f>G499*H499</f>
        <v>1.296</v>
      </c>
      <c r="J499" s="397">
        <f>I499*2</f>
        <v>2.5920000000000001</v>
      </c>
      <c r="K499" s="397" t="s">
        <v>100</v>
      </c>
      <c r="L499" s="397" t="s">
        <v>100</v>
      </c>
      <c r="M499" s="397" t="s">
        <v>100</v>
      </c>
      <c r="N499" s="397">
        <f>SUM(J499:M499)</f>
        <v>2.5920000000000001</v>
      </c>
    </row>
    <row r="500" spans="1:14">
      <c r="A500" s="811"/>
      <c r="B500" s="811"/>
      <c r="C500" s="811"/>
      <c r="D500" s="397" t="s">
        <v>2092</v>
      </c>
      <c r="E500" s="397">
        <v>0.39</v>
      </c>
      <c r="F500" s="397">
        <v>0.39</v>
      </c>
      <c r="G500" s="397">
        <f>E500*F500</f>
        <v>0.15210000000000001</v>
      </c>
      <c r="H500" s="397">
        <v>6</v>
      </c>
      <c r="I500" s="397">
        <f>G500*H500</f>
        <v>0.91260000000000008</v>
      </c>
      <c r="J500" s="397">
        <f>I500*2</f>
        <v>1.8252000000000002</v>
      </c>
      <c r="K500" s="397" t="s">
        <v>100</v>
      </c>
      <c r="L500" s="397" t="s">
        <v>100</v>
      </c>
      <c r="M500" s="397" t="s">
        <v>100</v>
      </c>
      <c r="N500" s="397">
        <f>SUM(J500:M500)</f>
        <v>1.8252000000000002</v>
      </c>
    </row>
    <row r="501" spans="1:14">
      <c r="A501" s="811"/>
      <c r="B501" s="811"/>
      <c r="C501" s="811"/>
      <c r="D501" s="815"/>
      <c r="E501" s="815"/>
      <c r="F501" s="815"/>
      <c r="G501" s="815"/>
      <c r="H501" s="815"/>
      <c r="I501" s="815"/>
      <c r="J501" s="815"/>
      <c r="K501" s="815"/>
      <c r="L501" s="815"/>
      <c r="M501" s="815"/>
      <c r="N501" s="815"/>
    </row>
    <row r="502" spans="1:14" ht="15.75">
      <c r="A502" s="811"/>
      <c r="B502" s="811"/>
      <c r="C502" s="811"/>
      <c r="D502" s="815"/>
      <c r="E502" s="815"/>
      <c r="F502" s="815"/>
      <c r="G502" s="815"/>
      <c r="H502" s="393" t="s">
        <v>2063</v>
      </c>
      <c r="I502" s="397">
        <f>SUM(I499:I500)</f>
        <v>2.2086000000000001</v>
      </c>
      <c r="J502" s="815"/>
      <c r="K502" s="815"/>
      <c r="L502" s="815"/>
      <c r="M502" s="393" t="s">
        <v>2091</v>
      </c>
      <c r="N502" s="397">
        <f>SUM(N499:N500)</f>
        <v>4.4172000000000002</v>
      </c>
    </row>
    <row r="503" spans="1:14">
      <c r="A503" s="811"/>
      <c r="B503" s="811"/>
      <c r="C503" s="811" t="s">
        <v>2100</v>
      </c>
      <c r="D503" s="398"/>
      <c r="E503" s="398"/>
      <c r="F503" s="398"/>
      <c r="G503" s="398"/>
      <c r="H503" s="398"/>
      <c r="I503" s="398"/>
      <c r="J503" s="398"/>
      <c r="K503" s="398"/>
      <c r="L503" s="398"/>
      <c r="M503" s="398"/>
      <c r="N503" s="398"/>
    </row>
    <row r="504" spans="1:14" ht="78.75">
      <c r="A504" s="811"/>
      <c r="B504" s="811"/>
      <c r="C504" s="811"/>
      <c r="D504" s="393" t="s">
        <v>100</v>
      </c>
      <c r="E504" s="393" t="s">
        <v>2095</v>
      </c>
      <c r="F504" s="393" t="s">
        <v>2094</v>
      </c>
      <c r="G504" s="393" t="s">
        <v>2060</v>
      </c>
      <c r="H504" s="393" t="s">
        <v>2059</v>
      </c>
      <c r="I504" s="393" t="s">
        <v>2054</v>
      </c>
      <c r="J504" s="394" t="s">
        <v>2058</v>
      </c>
      <c r="K504" s="394" t="s">
        <v>2057</v>
      </c>
      <c r="L504" s="394" t="s">
        <v>2056</v>
      </c>
      <c r="M504" s="394" t="s">
        <v>2055</v>
      </c>
      <c r="N504" s="394" t="s">
        <v>2054</v>
      </c>
    </row>
    <row r="505" spans="1:14">
      <c r="A505" s="811"/>
      <c r="B505" s="811"/>
      <c r="C505" s="811"/>
      <c r="D505" s="397" t="s">
        <v>2093</v>
      </c>
      <c r="E505" s="397">
        <v>0.9</v>
      </c>
      <c r="F505" s="397">
        <v>0.24</v>
      </c>
      <c r="G505" s="397">
        <f>E505*F505</f>
        <v>0.216</v>
      </c>
      <c r="H505" s="397">
        <v>6</v>
      </c>
      <c r="I505" s="397">
        <f>G505*H505</f>
        <v>1.296</v>
      </c>
      <c r="J505" s="397">
        <f>I505*2</f>
        <v>2.5920000000000001</v>
      </c>
      <c r="K505" s="397" t="s">
        <v>100</v>
      </c>
      <c r="L505" s="397" t="s">
        <v>100</v>
      </c>
      <c r="M505" s="397" t="s">
        <v>100</v>
      </c>
      <c r="N505" s="397">
        <f>SUM(J505:M505)</f>
        <v>2.5920000000000001</v>
      </c>
    </row>
    <row r="506" spans="1:14">
      <c r="A506" s="811"/>
      <c r="B506" s="811"/>
      <c r="C506" s="811"/>
      <c r="D506" s="397" t="s">
        <v>2092</v>
      </c>
      <c r="E506" s="397">
        <v>0.39</v>
      </c>
      <c r="F506" s="397">
        <v>0.39</v>
      </c>
      <c r="G506" s="397">
        <f>E506*F506</f>
        <v>0.15210000000000001</v>
      </c>
      <c r="H506" s="397">
        <v>6</v>
      </c>
      <c r="I506" s="397">
        <f>G506*H506</f>
        <v>0.91260000000000008</v>
      </c>
      <c r="J506" s="397">
        <f>I506*2</f>
        <v>1.8252000000000002</v>
      </c>
      <c r="K506" s="397" t="s">
        <v>100</v>
      </c>
      <c r="L506" s="397" t="s">
        <v>100</v>
      </c>
      <c r="M506" s="397" t="s">
        <v>100</v>
      </c>
      <c r="N506" s="397">
        <f>SUM(J506:M506)</f>
        <v>1.8252000000000002</v>
      </c>
    </row>
    <row r="507" spans="1:14">
      <c r="A507" s="811"/>
      <c r="B507" s="811"/>
      <c r="C507" s="811"/>
      <c r="D507" s="815"/>
      <c r="E507" s="815"/>
      <c r="F507" s="815"/>
      <c r="G507" s="815"/>
      <c r="H507" s="815"/>
      <c r="I507" s="815"/>
      <c r="J507" s="815"/>
      <c r="K507" s="815"/>
      <c r="L507" s="815"/>
      <c r="M507" s="815"/>
      <c r="N507" s="815"/>
    </row>
    <row r="508" spans="1:14" ht="15.75">
      <c r="A508" s="811"/>
      <c r="B508" s="811"/>
      <c r="C508" s="811"/>
      <c r="D508" s="815"/>
      <c r="E508" s="815"/>
      <c r="F508" s="815"/>
      <c r="G508" s="815"/>
      <c r="H508" s="393" t="s">
        <v>2063</v>
      </c>
      <c r="I508" s="397">
        <f>SUM(I505:I506)</f>
        <v>2.2086000000000001</v>
      </c>
      <c r="J508" s="815"/>
      <c r="K508" s="815"/>
      <c r="L508" s="815"/>
      <c r="M508" s="393" t="s">
        <v>2091</v>
      </c>
      <c r="N508" s="397">
        <f>SUM(N505:N506)</f>
        <v>4.4172000000000002</v>
      </c>
    </row>
    <row r="509" spans="1:14">
      <c r="A509" s="811"/>
      <c r="B509" s="811"/>
      <c r="C509" s="811" t="s">
        <v>2099</v>
      </c>
      <c r="D509" s="398"/>
      <c r="E509" s="398"/>
      <c r="F509" s="398"/>
      <c r="G509" s="398"/>
      <c r="H509" s="398"/>
      <c r="I509" s="398"/>
      <c r="J509" s="398"/>
      <c r="K509" s="398"/>
      <c r="L509" s="398"/>
      <c r="M509" s="398"/>
      <c r="N509" s="398"/>
    </row>
    <row r="510" spans="1:14" ht="78.75">
      <c r="A510" s="811"/>
      <c r="B510" s="811"/>
      <c r="C510" s="811"/>
      <c r="D510" s="393" t="s">
        <v>100</v>
      </c>
      <c r="E510" s="393" t="s">
        <v>2095</v>
      </c>
      <c r="F510" s="393" t="s">
        <v>2094</v>
      </c>
      <c r="G510" s="393" t="s">
        <v>2060</v>
      </c>
      <c r="H510" s="393" t="s">
        <v>2059</v>
      </c>
      <c r="I510" s="393" t="s">
        <v>2054</v>
      </c>
      <c r="J510" s="394" t="s">
        <v>2058</v>
      </c>
      <c r="K510" s="394" t="s">
        <v>2057</v>
      </c>
      <c r="L510" s="394" t="s">
        <v>2056</v>
      </c>
      <c r="M510" s="394" t="s">
        <v>2055</v>
      </c>
      <c r="N510" s="394" t="s">
        <v>2054</v>
      </c>
    </row>
    <row r="511" spans="1:14">
      <c r="A511" s="811"/>
      <c r="B511" s="811"/>
      <c r="C511" s="811"/>
      <c r="D511" s="397" t="s">
        <v>2093</v>
      </c>
      <c r="E511" s="397">
        <v>0.9</v>
      </c>
      <c r="F511" s="397">
        <v>0.24</v>
      </c>
      <c r="G511" s="397">
        <f>E511*F511</f>
        <v>0.216</v>
      </c>
      <c r="H511" s="397">
        <v>6</v>
      </c>
      <c r="I511" s="397">
        <f>G511*H511</f>
        <v>1.296</v>
      </c>
      <c r="J511" s="397">
        <f>I511*2</f>
        <v>2.5920000000000001</v>
      </c>
      <c r="K511" s="397" t="s">
        <v>100</v>
      </c>
      <c r="L511" s="397" t="s">
        <v>100</v>
      </c>
      <c r="M511" s="397" t="s">
        <v>100</v>
      </c>
      <c r="N511" s="397">
        <f>SUM(J511:M511)</f>
        <v>2.5920000000000001</v>
      </c>
    </row>
    <row r="512" spans="1:14">
      <c r="A512" s="811"/>
      <c r="B512" s="811"/>
      <c r="C512" s="811"/>
      <c r="D512" s="397" t="s">
        <v>2092</v>
      </c>
      <c r="E512" s="397">
        <v>0.39</v>
      </c>
      <c r="F512" s="397">
        <v>0.39</v>
      </c>
      <c r="G512" s="397">
        <f>E512*F512</f>
        <v>0.15210000000000001</v>
      </c>
      <c r="H512" s="397">
        <v>6</v>
      </c>
      <c r="I512" s="397">
        <f>G512*H512</f>
        <v>0.91260000000000008</v>
      </c>
      <c r="J512" s="397">
        <f>I512*2</f>
        <v>1.8252000000000002</v>
      </c>
      <c r="K512" s="397" t="s">
        <v>100</v>
      </c>
      <c r="L512" s="397" t="s">
        <v>100</v>
      </c>
      <c r="M512" s="397" t="s">
        <v>100</v>
      </c>
      <c r="N512" s="397">
        <f>SUM(J512:M512)</f>
        <v>1.8252000000000002</v>
      </c>
    </row>
    <row r="513" spans="1:14">
      <c r="A513" s="811"/>
      <c r="B513" s="811"/>
      <c r="C513" s="811"/>
      <c r="D513" s="397" t="s">
        <v>2098</v>
      </c>
      <c r="E513" s="397">
        <v>0.39</v>
      </c>
      <c r="F513" s="397">
        <v>0.39</v>
      </c>
      <c r="G513" s="397">
        <f>E513*F513</f>
        <v>0.15210000000000001</v>
      </c>
      <c r="H513" s="397">
        <v>2</v>
      </c>
      <c r="I513" s="397">
        <f>G513*H513</f>
        <v>0.30420000000000003</v>
      </c>
      <c r="J513" s="397">
        <f>I513*2</f>
        <v>0.60840000000000005</v>
      </c>
      <c r="K513" s="397" t="s">
        <v>100</v>
      </c>
      <c r="L513" s="397" t="s">
        <v>100</v>
      </c>
      <c r="M513" s="397" t="s">
        <v>100</v>
      </c>
      <c r="N513" s="397">
        <f>SUM(J513:M513)</f>
        <v>0.60840000000000005</v>
      </c>
    </row>
    <row r="514" spans="1:14">
      <c r="A514" s="811"/>
      <c r="B514" s="811"/>
      <c r="C514" s="811"/>
      <c r="D514" s="815"/>
      <c r="E514" s="815"/>
      <c r="F514" s="815"/>
      <c r="G514" s="815"/>
      <c r="H514" s="815"/>
      <c r="I514" s="815"/>
      <c r="J514" s="815"/>
      <c r="K514" s="815"/>
      <c r="L514" s="815"/>
      <c r="M514" s="815"/>
      <c r="N514" s="815"/>
    </row>
    <row r="515" spans="1:14" ht="15.75">
      <c r="A515" s="811"/>
      <c r="B515" s="811"/>
      <c r="C515" s="811"/>
      <c r="D515" s="815"/>
      <c r="E515" s="815"/>
      <c r="F515" s="815"/>
      <c r="G515" s="815"/>
      <c r="H515" s="393" t="s">
        <v>2063</v>
      </c>
      <c r="I515" s="397">
        <f>SUM(I511:I513)</f>
        <v>2.5128000000000004</v>
      </c>
      <c r="J515" s="815"/>
      <c r="K515" s="815"/>
      <c r="L515" s="815"/>
      <c r="M515" s="393" t="s">
        <v>2091</v>
      </c>
      <c r="N515" s="397">
        <f>SUM(N511:N513)</f>
        <v>5.0256000000000007</v>
      </c>
    </row>
    <row r="516" spans="1:14">
      <c r="A516" s="811"/>
      <c r="B516" s="811"/>
      <c r="C516" s="811" t="s">
        <v>2097</v>
      </c>
      <c r="D516" s="398"/>
      <c r="E516" s="398"/>
      <c r="F516" s="398"/>
      <c r="G516" s="398"/>
      <c r="H516" s="398"/>
      <c r="I516" s="398"/>
      <c r="J516" s="398"/>
      <c r="K516" s="398"/>
      <c r="L516" s="398"/>
      <c r="M516" s="398"/>
      <c r="N516" s="398"/>
    </row>
    <row r="517" spans="1:14" ht="78.75">
      <c r="A517" s="811"/>
      <c r="B517" s="811"/>
      <c r="C517" s="811"/>
      <c r="D517" s="393" t="s">
        <v>100</v>
      </c>
      <c r="E517" s="393" t="s">
        <v>2095</v>
      </c>
      <c r="F517" s="393" t="s">
        <v>2094</v>
      </c>
      <c r="G517" s="393" t="s">
        <v>2060</v>
      </c>
      <c r="H517" s="393" t="s">
        <v>2059</v>
      </c>
      <c r="I517" s="393" t="s">
        <v>2054</v>
      </c>
      <c r="J517" s="394" t="s">
        <v>2058</v>
      </c>
      <c r="K517" s="394" t="s">
        <v>2057</v>
      </c>
      <c r="L517" s="394" t="s">
        <v>2056</v>
      </c>
      <c r="M517" s="394" t="s">
        <v>2055</v>
      </c>
      <c r="N517" s="394" t="s">
        <v>2054</v>
      </c>
    </row>
    <row r="518" spans="1:14">
      <c r="A518" s="811"/>
      <c r="B518" s="811"/>
      <c r="C518" s="811"/>
      <c r="D518" s="397" t="s">
        <v>2093</v>
      </c>
      <c r="E518" s="397">
        <v>0.9</v>
      </c>
      <c r="F518" s="397">
        <v>0.24</v>
      </c>
      <c r="G518" s="397">
        <f>E518*F518</f>
        <v>0.216</v>
      </c>
      <c r="H518" s="397">
        <v>6</v>
      </c>
      <c r="I518" s="397">
        <f>G518*H518</f>
        <v>1.296</v>
      </c>
      <c r="J518" s="397">
        <f>I518*2</f>
        <v>2.5920000000000001</v>
      </c>
      <c r="K518" s="397" t="s">
        <v>100</v>
      </c>
      <c r="L518" s="397" t="s">
        <v>100</v>
      </c>
      <c r="M518" s="397" t="s">
        <v>100</v>
      </c>
      <c r="N518" s="397">
        <f>SUM(J518:M518)</f>
        <v>2.5920000000000001</v>
      </c>
    </row>
    <row r="519" spans="1:14">
      <c r="A519" s="811"/>
      <c r="B519" s="811"/>
      <c r="C519" s="811"/>
      <c r="D519" s="397" t="s">
        <v>2092</v>
      </c>
      <c r="E519" s="397">
        <v>0.39</v>
      </c>
      <c r="F519" s="397">
        <v>0.39</v>
      </c>
      <c r="G519" s="397">
        <f>E519*F519</f>
        <v>0.15210000000000001</v>
      </c>
      <c r="H519" s="397">
        <v>6</v>
      </c>
      <c r="I519" s="397">
        <f>G519*H519</f>
        <v>0.91260000000000008</v>
      </c>
      <c r="J519" s="397">
        <f>I519*2</f>
        <v>1.8252000000000002</v>
      </c>
      <c r="K519" s="397" t="s">
        <v>100</v>
      </c>
      <c r="L519" s="397" t="s">
        <v>100</v>
      </c>
      <c r="M519" s="397" t="s">
        <v>100</v>
      </c>
      <c r="N519" s="397">
        <f>SUM(J519:M519)</f>
        <v>1.8252000000000002</v>
      </c>
    </row>
    <row r="520" spans="1:14">
      <c r="A520" s="811"/>
      <c r="B520" s="811"/>
      <c r="C520" s="811"/>
      <c r="D520" s="815"/>
      <c r="E520" s="815"/>
      <c r="F520" s="815"/>
      <c r="G520" s="815"/>
      <c r="H520" s="815"/>
      <c r="I520" s="815"/>
      <c r="J520" s="815"/>
      <c r="K520" s="815"/>
      <c r="L520" s="815"/>
      <c r="M520" s="815"/>
      <c r="N520" s="815"/>
    </row>
    <row r="521" spans="1:14" ht="15.75">
      <c r="A521" s="811"/>
      <c r="B521" s="811"/>
      <c r="C521" s="811"/>
      <c r="D521" s="815"/>
      <c r="E521" s="815"/>
      <c r="F521" s="815"/>
      <c r="G521" s="815"/>
      <c r="H521" s="393" t="s">
        <v>2063</v>
      </c>
      <c r="I521" s="397">
        <f>SUM(I518:I519)</f>
        <v>2.2086000000000001</v>
      </c>
      <c r="J521" s="815"/>
      <c r="K521" s="815"/>
      <c r="L521" s="815"/>
      <c r="M521" s="393" t="s">
        <v>2091</v>
      </c>
      <c r="N521" s="397">
        <f>SUM(N518:N519)</f>
        <v>4.4172000000000002</v>
      </c>
    </row>
    <row r="522" spans="1:14">
      <c r="A522" s="811"/>
      <c r="B522" s="811"/>
      <c r="C522" s="811"/>
      <c r="D522" s="398"/>
      <c r="E522" s="398"/>
      <c r="F522" s="398"/>
      <c r="G522" s="398"/>
      <c r="H522" s="398"/>
      <c r="I522" s="398"/>
      <c r="J522" s="398"/>
      <c r="K522" s="398"/>
      <c r="L522" s="398"/>
      <c r="M522" s="398"/>
      <c r="N522" s="398"/>
    </row>
    <row r="523" spans="1:14" ht="78.75">
      <c r="A523" s="811"/>
      <c r="B523" s="811" t="s">
        <v>2096</v>
      </c>
      <c r="C523" s="811"/>
      <c r="D523" s="393" t="s">
        <v>100</v>
      </c>
      <c r="E523" s="393" t="s">
        <v>2095</v>
      </c>
      <c r="F523" s="393" t="s">
        <v>2094</v>
      </c>
      <c r="G523" s="393" t="s">
        <v>2060</v>
      </c>
      <c r="H523" s="393" t="s">
        <v>2059</v>
      </c>
      <c r="I523" s="393" t="s">
        <v>2054</v>
      </c>
      <c r="J523" s="394" t="s">
        <v>2058</v>
      </c>
      <c r="K523" s="394" t="s">
        <v>2057</v>
      </c>
      <c r="L523" s="394" t="s">
        <v>2056</v>
      </c>
      <c r="M523" s="394" t="s">
        <v>2055</v>
      </c>
      <c r="N523" s="394" t="s">
        <v>2054</v>
      </c>
    </row>
    <row r="524" spans="1:14">
      <c r="A524" s="811"/>
      <c r="B524" s="811"/>
      <c r="C524" s="811"/>
      <c r="D524" s="397" t="s">
        <v>2093</v>
      </c>
      <c r="E524" s="397">
        <v>0.9</v>
      </c>
      <c r="F524" s="397">
        <v>0.24</v>
      </c>
      <c r="G524" s="397">
        <f>E524*F524</f>
        <v>0.216</v>
      </c>
      <c r="H524" s="397">
        <v>5</v>
      </c>
      <c r="I524" s="397">
        <f>G524*H524</f>
        <v>1.08</v>
      </c>
      <c r="J524" s="397">
        <f>I524*2</f>
        <v>2.16</v>
      </c>
      <c r="K524" s="397" t="s">
        <v>100</v>
      </c>
      <c r="L524" s="397" t="s">
        <v>100</v>
      </c>
      <c r="M524" s="397" t="s">
        <v>100</v>
      </c>
      <c r="N524" s="397">
        <f>SUM(J524:M524)</f>
        <v>2.16</v>
      </c>
    </row>
    <row r="525" spans="1:14">
      <c r="A525" s="811"/>
      <c r="B525" s="811"/>
      <c r="C525" s="811"/>
      <c r="D525" s="397" t="s">
        <v>2092</v>
      </c>
      <c r="E525" s="397">
        <v>0.39</v>
      </c>
      <c r="F525" s="397">
        <v>0.39</v>
      </c>
      <c r="G525" s="397">
        <f>E525*F525</f>
        <v>0.15210000000000001</v>
      </c>
      <c r="H525" s="397">
        <v>5</v>
      </c>
      <c r="I525" s="397">
        <f>G525*H525</f>
        <v>0.76050000000000006</v>
      </c>
      <c r="J525" s="397">
        <f>I525*2</f>
        <v>1.5210000000000001</v>
      </c>
      <c r="K525" s="397" t="s">
        <v>100</v>
      </c>
      <c r="L525" s="397" t="s">
        <v>100</v>
      </c>
      <c r="M525" s="397" t="s">
        <v>100</v>
      </c>
      <c r="N525" s="397">
        <f>SUM(J525:M525)</f>
        <v>1.5210000000000001</v>
      </c>
    </row>
    <row r="526" spans="1:14">
      <c r="A526" s="811"/>
      <c r="B526" s="811"/>
      <c r="C526" s="811"/>
      <c r="D526" s="815"/>
      <c r="E526" s="815"/>
      <c r="F526" s="815"/>
      <c r="G526" s="815"/>
      <c r="H526" s="815"/>
      <c r="I526" s="815"/>
      <c r="J526" s="815"/>
      <c r="K526" s="815"/>
      <c r="L526" s="815"/>
      <c r="M526" s="815"/>
      <c r="N526" s="815"/>
    </row>
    <row r="527" spans="1:14" ht="15.75">
      <c r="A527" s="811"/>
      <c r="B527" s="811"/>
      <c r="C527" s="811"/>
      <c r="D527" s="815"/>
      <c r="E527" s="815"/>
      <c r="F527" s="815"/>
      <c r="G527" s="815"/>
      <c r="H527" s="393" t="s">
        <v>2063</v>
      </c>
      <c r="I527" s="397">
        <f>SUM(I524:I525)</f>
        <v>1.8405</v>
      </c>
      <c r="J527" s="815"/>
      <c r="K527" s="815"/>
      <c r="L527" s="815"/>
      <c r="M527" s="393" t="s">
        <v>2091</v>
      </c>
      <c r="N527" s="397">
        <f>SUM(N524:N525)</f>
        <v>3.681</v>
      </c>
    </row>
    <row r="528" spans="1:14" ht="15.75">
      <c r="A528" s="811"/>
      <c r="B528" s="811"/>
      <c r="C528" s="811"/>
      <c r="D528" s="811"/>
      <c r="E528" s="811"/>
      <c r="F528" s="811"/>
      <c r="G528" s="811"/>
      <c r="H528" s="811"/>
      <c r="I528" s="811"/>
      <c r="J528" s="811"/>
      <c r="K528" s="811"/>
      <c r="L528" s="811"/>
      <c r="M528" s="811"/>
      <c r="N528" s="811"/>
    </row>
    <row r="529" spans="1:15" ht="78.75">
      <c r="A529" s="811"/>
      <c r="B529" s="810" t="s">
        <v>2063</v>
      </c>
      <c r="C529" s="810"/>
      <c r="D529" s="396" t="s">
        <v>100</v>
      </c>
      <c r="E529" s="396" t="s">
        <v>2062</v>
      </c>
      <c r="F529" s="396" t="s">
        <v>2061</v>
      </c>
      <c r="G529" s="396" t="s">
        <v>2060</v>
      </c>
      <c r="H529" s="396" t="s">
        <v>2059</v>
      </c>
      <c r="I529" s="396" t="s">
        <v>2054</v>
      </c>
      <c r="J529" s="395" t="s">
        <v>2058</v>
      </c>
      <c r="K529" s="395" t="s">
        <v>2057</v>
      </c>
      <c r="L529" s="395" t="s">
        <v>2056</v>
      </c>
      <c r="M529" s="395" t="s">
        <v>2055</v>
      </c>
      <c r="N529" s="395" t="s">
        <v>2054</v>
      </c>
    </row>
    <row r="530" spans="1:15">
      <c r="A530" s="811"/>
      <c r="B530" s="810"/>
      <c r="C530" s="810"/>
      <c r="D530" s="392"/>
      <c r="E530" s="392"/>
      <c r="F530" s="392"/>
      <c r="G530" s="392"/>
      <c r="H530" s="391">
        <f>SUM(H480:H482,H487:H488,H493:H494,H499:H500,H505:H506,H511:H513,H518:H519,H524:H525)</f>
        <v>87</v>
      </c>
      <c r="I530" s="391">
        <f>SUM(I527,I521,I515,I508,I502,I496,I490,I484)</f>
        <v>16.219200000000001</v>
      </c>
      <c r="J530" s="391">
        <f>SUM(J480:J482,J487:J488,J493:J494,J499:J500,J505:J506,J511:J513,J518:J519,J524:J525)</f>
        <v>32.438399999999994</v>
      </c>
      <c r="K530" s="391">
        <f>SUM(K524:K525,K518:K519,K511:K513,K505:K506,K480:K482,K487:K488,K493:K494,K499:K500)</f>
        <v>0</v>
      </c>
      <c r="L530" s="391">
        <f>SUM(L524:L525,L518:L519,L511:L513,L480:L482,L487:L488,L493:L494,L499:L500,L505:L506)</f>
        <v>0</v>
      </c>
      <c r="M530" s="391">
        <f>SUM(M524:M525,M518:M519,M511:M513,M505:M506,M499:M500,M493:M494,M487:M488,M480:M482)</f>
        <v>0</v>
      </c>
      <c r="N530" s="391">
        <f>SUM(N527,N521,N515,N508,N502,N496,N490,N484)</f>
        <v>32.438400000000001</v>
      </c>
    </row>
    <row r="534" spans="1:15" ht="18.75">
      <c r="A534" s="814" t="s">
        <v>2090</v>
      </c>
      <c r="B534" s="814"/>
      <c r="C534" s="814"/>
      <c r="D534" s="814"/>
      <c r="E534" s="814"/>
      <c r="F534" s="814"/>
      <c r="G534" s="814"/>
      <c r="H534" s="814"/>
      <c r="I534" s="814"/>
      <c r="J534" s="814"/>
      <c r="K534" s="814"/>
      <c r="L534" s="814"/>
      <c r="M534" s="814"/>
      <c r="N534" s="814"/>
      <c r="O534" s="814"/>
    </row>
    <row r="535" spans="1:15" ht="78.75">
      <c r="A535" s="811" t="s">
        <v>2089</v>
      </c>
      <c r="B535" s="811" t="s">
        <v>1426</v>
      </c>
      <c r="C535" s="811"/>
      <c r="D535" s="811" t="s">
        <v>394</v>
      </c>
      <c r="E535" s="393" t="s">
        <v>2072</v>
      </c>
      <c r="F535" s="394" t="s">
        <v>2071</v>
      </c>
      <c r="G535" s="393" t="s">
        <v>2070</v>
      </c>
      <c r="H535" s="393" t="s">
        <v>2060</v>
      </c>
      <c r="I535" s="393" t="s">
        <v>2059</v>
      </c>
      <c r="J535" s="393" t="s">
        <v>2069</v>
      </c>
      <c r="K535" s="394" t="s">
        <v>2068</v>
      </c>
      <c r="L535" s="394" t="s">
        <v>2057</v>
      </c>
      <c r="M535" s="394" t="s">
        <v>2056</v>
      </c>
      <c r="N535" s="394" t="s">
        <v>2067</v>
      </c>
      <c r="O535" s="394" t="s">
        <v>2066</v>
      </c>
    </row>
    <row r="536" spans="1:15" ht="15.75">
      <c r="A536" s="811"/>
      <c r="B536" s="811"/>
      <c r="C536" s="811"/>
      <c r="D536" s="811"/>
      <c r="E536" s="393" t="s">
        <v>2065</v>
      </c>
      <c r="F536" s="813"/>
      <c r="G536" s="813"/>
      <c r="H536" s="813"/>
      <c r="I536" s="813"/>
      <c r="J536" s="813"/>
      <c r="K536" s="813"/>
      <c r="L536" s="813"/>
      <c r="M536" s="813"/>
      <c r="N536" s="813"/>
      <c r="O536" s="813"/>
    </row>
    <row r="537" spans="1:15">
      <c r="A537" s="811"/>
      <c r="B537" s="811"/>
      <c r="C537" s="811"/>
      <c r="D537" s="811"/>
      <c r="E537" s="397" t="s">
        <v>2076</v>
      </c>
      <c r="F537" s="397">
        <v>0.81</v>
      </c>
      <c r="G537" s="397">
        <v>0.25</v>
      </c>
      <c r="H537" s="397">
        <f>F537*G537</f>
        <v>0.20250000000000001</v>
      </c>
      <c r="I537" s="397">
        <v>4</v>
      </c>
      <c r="J537" s="397">
        <f>H537*I537</f>
        <v>0.81</v>
      </c>
      <c r="K537" s="397">
        <f>J537*2</f>
        <v>1.62</v>
      </c>
      <c r="L537" s="397" t="s">
        <v>100</v>
      </c>
      <c r="M537" s="397" t="s">
        <v>100</v>
      </c>
      <c r="N537" s="397" t="s">
        <v>100</v>
      </c>
      <c r="O537" s="397">
        <f>SUM(K537:N537)</f>
        <v>1.62</v>
      </c>
    </row>
    <row r="538" spans="1:15">
      <c r="A538" s="811"/>
      <c r="B538" s="811"/>
      <c r="C538" s="811"/>
      <c r="D538" s="811"/>
      <c r="E538" s="397" t="s">
        <v>2081</v>
      </c>
      <c r="F538" s="397">
        <v>0.88</v>
      </c>
      <c r="G538" s="397">
        <v>0.25</v>
      </c>
      <c r="H538" s="397">
        <f>F538*G538</f>
        <v>0.22</v>
      </c>
      <c r="I538" s="397">
        <v>2</v>
      </c>
      <c r="J538" s="397">
        <f>H538*I538</f>
        <v>0.44</v>
      </c>
      <c r="K538" s="397">
        <f>J538*2</f>
        <v>0.88</v>
      </c>
      <c r="L538" s="397" t="s">
        <v>100</v>
      </c>
      <c r="M538" s="397" t="s">
        <v>100</v>
      </c>
      <c r="N538" s="397" t="s">
        <v>100</v>
      </c>
      <c r="O538" s="397">
        <f>SUM(K538:N538)</f>
        <v>0.88</v>
      </c>
    </row>
    <row r="539" spans="1:15">
      <c r="A539" s="811"/>
      <c r="B539" s="811"/>
      <c r="C539" s="811"/>
      <c r="D539" s="811"/>
      <c r="E539" s="397" t="s">
        <v>2084</v>
      </c>
      <c r="F539" s="397">
        <v>1.18</v>
      </c>
      <c r="G539" s="397">
        <v>0.25</v>
      </c>
      <c r="H539" s="397">
        <f>F539*G539</f>
        <v>0.29499999999999998</v>
      </c>
      <c r="I539" s="397">
        <v>5</v>
      </c>
      <c r="J539" s="397">
        <f>H539*I539</f>
        <v>1.4749999999999999</v>
      </c>
      <c r="K539" s="397">
        <f>J539*2</f>
        <v>2.9499999999999997</v>
      </c>
      <c r="L539" s="397" t="s">
        <v>100</v>
      </c>
      <c r="M539" s="397" t="s">
        <v>100</v>
      </c>
      <c r="N539" s="397" t="s">
        <v>100</v>
      </c>
      <c r="O539" s="397">
        <f>SUM(K539:N539)</f>
        <v>2.9499999999999997</v>
      </c>
    </row>
    <row r="540" spans="1:15">
      <c r="A540" s="811"/>
      <c r="B540" s="811"/>
      <c r="C540" s="811"/>
      <c r="D540" s="811"/>
      <c r="E540" s="397" t="s">
        <v>2083</v>
      </c>
      <c r="F540" s="397">
        <v>0.96</v>
      </c>
      <c r="G540" s="397">
        <v>0.14000000000000001</v>
      </c>
      <c r="H540" s="397">
        <f>F540*G540</f>
        <v>0.13440000000000002</v>
      </c>
      <c r="I540" s="397">
        <v>5</v>
      </c>
      <c r="J540" s="397">
        <f>H540*I540</f>
        <v>0.67200000000000015</v>
      </c>
      <c r="K540" s="397">
        <f>J540*2</f>
        <v>1.3440000000000003</v>
      </c>
      <c r="L540" s="397" t="s">
        <v>100</v>
      </c>
      <c r="M540" s="397" t="s">
        <v>100</v>
      </c>
      <c r="N540" s="397" t="s">
        <v>100</v>
      </c>
      <c r="O540" s="397">
        <f>SUM(K540:N540)</f>
        <v>1.3440000000000003</v>
      </c>
    </row>
    <row r="541" spans="1:15">
      <c r="A541" s="811"/>
      <c r="B541" s="811"/>
      <c r="C541" s="811"/>
      <c r="D541" s="811"/>
      <c r="E541" s="813"/>
      <c r="F541" s="813"/>
      <c r="G541" s="813"/>
      <c r="H541" s="813"/>
      <c r="I541" s="813"/>
      <c r="J541" s="813"/>
      <c r="K541" s="813"/>
      <c r="L541" s="813"/>
      <c r="M541" s="813"/>
      <c r="N541" s="813"/>
      <c r="O541" s="813"/>
    </row>
    <row r="542" spans="1:15" ht="15.75">
      <c r="A542" s="811"/>
      <c r="B542" s="811"/>
      <c r="C542" s="811"/>
      <c r="D542" s="811"/>
      <c r="E542" s="811"/>
      <c r="F542" s="811"/>
      <c r="G542" s="811"/>
      <c r="H542" s="811"/>
      <c r="I542" s="393" t="s">
        <v>2063</v>
      </c>
      <c r="J542" s="397">
        <f>SUM(J537:J540)</f>
        <v>3.3969999999999998</v>
      </c>
      <c r="K542" s="815"/>
      <c r="L542" s="815"/>
      <c r="M542" s="815"/>
      <c r="N542" s="393" t="s">
        <v>2063</v>
      </c>
      <c r="O542" s="397">
        <f>SUM(O537:O540)</f>
        <v>6.7939999999999996</v>
      </c>
    </row>
    <row r="543" spans="1:15" ht="15.75">
      <c r="A543" s="811"/>
      <c r="B543" s="811"/>
      <c r="C543" s="811"/>
      <c r="D543" s="811"/>
      <c r="E543" s="811"/>
      <c r="F543" s="811"/>
      <c r="G543" s="811"/>
      <c r="H543" s="811"/>
      <c r="I543" s="811"/>
      <c r="J543" s="811"/>
      <c r="K543" s="811"/>
      <c r="L543" s="811"/>
      <c r="M543" s="811"/>
      <c r="N543" s="811"/>
      <c r="O543" s="811"/>
    </row>
    <row r="544" spans="1:15" ht="78.75">
      <c r="A544" s="811"/>
      <c r="B544" s="811"/>
      <c r="C544" s="811"/>
      <c r="D544" s="811" t="s">
        <v>219</v>
      </c>
      <c r="E544" s="393" t="s">
        <v>2072</v>
      </c>
      <c r="F544" s="394" t="s">
        <v>2071</v>
      </c>
      <c r="G544" s="393" t="s">
        <v>2070</v>
      </c>
      <c r="H544" s="393" t="s">
        <v>2060</v>
      </c>
      <c r="I544" s="393" t="s">
        <v>2059</v>
      </c>
      <c r="J544" s="393" t="s">
        <v>2069</v>
      </c>
      <c r="K544" s="394" t="s">
        <v>2068</v>
      </c>
      <c r="L544" s="394" t="s">
        <v>2057</v>
      </c>
      <c r="M544" s="394" t="s">
        <v>2056</v>
      </c>
      <c r="N544" s="394" t="s">
        <v>2067</v>
      </c>
      <c r="O544" s="394" t="s">
        <v>2066</v>
      </c>
    </row>
    <row r="545" spans="1:15" ht="15.75">
      <c r="A545" s="811"/>
      <c r="B545" s="811"/>
      <c r="C545" s="811"/>
      <c r="D545" s="811"/>
      <c r="E545" s="393" t="s">
        <v>2065</v>
      </c>
      <c r="F545" s="813"/>
      <c r="G545" s="813"/>
      <c r="H545" s="813"/>
      <c r="I545" s="813"/>
      <c r="J545" s="813"/>
      <c r="K545" s="813"/>
      <c r="L545" s="813"/>
      <c r="M545" s="813"/>
      <c r="N545" s="813"/>
      <c r="O545" s="813"/>
    </row>
    <row r="546" spans="1:15">
      <c r="A546" s="811"/>
      <c r="B546" s="811"/>
      <c r="C546" s="811"/>
      <c r="D546" s="811"/>
      <c r="E546" s="397" t="s">
        <v>2076</v>
      </c>
      <c r="F546" s="397">
        <v>0.81</v>
      </c>
      <c r="G546" s="397">
        <v>0.25</v>
      </c>
      <c r="H546" s="397">
        <f>F546*G546</f>
        <v>0.20250000000000001</v>
      </c>
      <c r="I546" s="397">
        <v>4</v>
      </c>
      <c r="J546" s="397">
        <f>H546*I546</f>
        <v>0.81</v>
      </c>
      <c r="K546" s="397">
        <f>J546*2</f>
        <v>1.62</v>
      </c>
      <c r="L546" s="397" t="s">
        <v>100</v>
      </c>
      <c r="M546" s="397" t="s">
        <v>100</v>
      </c>
      <c r="N546" s="397" t="s">
        <v>100</v>
      </c>
      <c r="O546" s="397">
        <f>SUM(K546:N546)</f>
        <v>1.62</v>
      </c>
    </row>
    <row r="547" spans="1:15">
      <c r="A547" s="811"/>
      <c r="B547" s="811"/>
      <c r="C547" s="811"/>
      <c r="D547" s="811"/>
      <c r="E547" s="397" t="s">
        <v>2081</v>
      </c>
      <c r="F547" s="397">
        <v>0.88</v>
      </c>
      <c r="G547" s="397">
        <v>0.25</v>
      </c>
      <c r="H547" s="397">
        <f>F547*G547</f>
        <v>0.22</v>
      </c>
      <c r="I547" s="397">
        <v>2</v>
      </c>
      <c r="J547" s="397">
        <f>H547*I547</f>
        <v>0.44</v>
      </c>
      <c r="K547" s="397">
        <f>J547*2</f>
        <v>0.88</v>
      </c>
      <c r="L547" s="397" t="s">
        <v>100</v>
      </c>
      <c r="M547" s="397" t="s">
        <v>100</v>
      </c>
      <c r="N547" s="397" t="s">
        <v>100</v>
      </c>
      <c r="O547" s="397">
        <f>SUM(K547:N547)</f>
        <v>0.88</v>
      </c>
    </row>
    <row r="548" spans="1:15">
      <c r="A548" s="811"/>
      <c r="B548" s="811"/>
      <c r="C548" s="811"/>
      <c r="D548" s="811"/>
      <c r="E548" s="397" t="s">
        <v>2084</v>
      </c>
      <c r="F548" s="397">
        <v>1.18</v>
      </c>
      <c r="G548" s="397">
        <v>0.25</v>
      </c>
      <c r="H548" s="397">
        <f>F548*G548</f>
        <v>0.29499999999999998</v>
      </c>
      <c r="I548" s="397">
        <v>5</v>
      </c>
      <c r="J548" s="397">
        <f>H548*I548</f>
        <v>1.4749999999999999</v>
      </c>
      <c r="K548" s="397">
        <f>J548*2</f>
        <v>2.9499999999999997</v>
      </c>
      <c r="L548" s="397" t="s">
        <v>100</v>
      </c>
      <c r="M548" s="397" t="s">
        <v>100</v>
      </c>
      <c r="N548" s="397" t="s">
        <v>100</v>
      </c>
      <c r="O548" s="397">
        <f>SUM(K548:N548)</f>
        <v>2.9499999999999997</v>
      </c>
    </row>
    <row r="549" spans="1:15">
      <c r="A549" s="811"/>
      <c r="B549" s="811"/>
      <c r="C549" s="811"/>
      <c r="D549" s="811"/>
      <c r="E549" s="397" t="s">
        <v>2083</v>
      </c>
      <c r="F549" s="397">
        <v>0.96</v>
      </c>
      <c r="G549" s="397">
        <v>0.14000000000000001</v>
      </c>
      <c r="H549" s="397">
        <f>F549*G549</f>
        <v>0.13440000000000002</v>
      </c>
      <c r="I549" s="397">
        <v>5</v>
      </c>
      <c r="J549" s="397">
        <f>H549*I549</f>
        <v>0.67200000000000015</v>
      </c>
      <c r="K549" s="397">
        <f>J549*2</f>
        <v>1.3440000000000003</v>
      </c>
      <c r="L549" s="397" t="s">
        <v>100</v>
      </c>
      <c r="M549" s="397" t="s">
        <v>100</v>
      </c>
      <c r="N549" s="397" t="s">
        <v>100</v>
      </c>
      <c r="O549" s="397">
        <f>SUM(K549:N549)</f>
        <v>1.3440000000000003</v>
      </c>
    </row>
    <row r="550" spans="1:15">
      <c r="A550" s="811"/>
      <c r="B550" s="811"/>
      <c r="C550" s="811"/>
      <c r="D550" s="811"/>
      <c r="E550" s="813"/>
      <c r="F550" s="813"/>
      <c r="G550" s="813"/>
      <c r="H550" s="813"/>
      <c r="I550" s="813"/>
      <c r="J550" s="813"/>
      <c r="K550" s="813"/>
      <c r="L550" s="813"/>
      <c r="M550" s="813"/>
      <c r="N550" s="813"/>
      <c r="O550" s="813"/>
    </row>
    <row r="551" spans="1:15" ht="15.75">
      <c r="A551" s="811"/>
      <c r="B551" s="811"/>
      <c r="C551" s="811"/>
      <c r="D551" s="811"/>
      <c r="E551" s="811"/>
      <c r="F551" s="811"/>
      <c r="G551" s="811"/>
      <c r="H551" s="811"/>
      <c r="I551" s="393" t="s">
        <v>2063</v>
      </c>
      <c r="J551" s="397">
        <f>SUM(J546:J549)</f>
        <v>3.3969999999999998</v>
      </c>
      <c r="K551" s="815"/>
      <c r="L551" s="815"/>
      <c r="M551" s="815"/>
      <c r="N551" s="393" t="s">
        <v>2063</v>
      </c>
      <c r="O551" s="397">
        <f>SUM(O546:O549)</f>
        <v>6.7939999999999996</v>
      </c>
    </row>
    <row r="552" spans="1:15" ht="15.75">
      <c r="A552" s="811"/>
      <c r="B552" s="811"/>
      <c r="C552" s="811"/>
      <c r="D552" s="811"/>
      <c r="E552" s="811"/>
      <c r="F552" s="811"/>
      <c r="G552" s="811"/>
      <c r="H552" s="811"/>
      <c r="I552" s="811"/>
      <c r="J552" s="811"/>
      <c r="K552" s="811"/>
      <c r="L552" s="811"/>
      <c r="M552" s="811"/>
      <c r="N552" s="811"/>
      <c r="O552" s="811"/>
    </row>
    <row r="553" spans="1:15" ht="78.75">
      <c r="A553" s="811"/>
      <c r="B553" s="811"/>
      <c r="C553" s="811"/>
      <c r="D553" s="811" t="s">
        <v>2088</v>
      </c>
      <c r="E553" s="393" t="s">
        <v>2072</v>
      </c>
      <c r="F553" s="394" t="s">
        <v>2071</v>
      </c>
      <c r="G553" s="393" t="s">
        <v>2070</v>
      </c>
      <c r="H553" s="393" t="s">
        <v>2060</v>
      </c>
      <c r="I553" s="393" t="s">
        <v>2059</v>
      </c>
      <c r="J553" s="393" t="s">
        <v>2069</v>
      </c>
      <c r="K553" s="394" t="s">
        <v>2068</v>
      </c>
      <c r="L553" s="394" t="s">
        <v>2057</v>
      </c>
      <c r="M553" s="394" t="s">
        <v>2056</v>
      </c>
      <c r="N553" s="394" t="s">
        <v>2067</v>
      </c>
      <c r="O553" s="394" t="s">
        <v>2066</v>
      </c>
    </row>
    <row r="554" spans="1:15" ht="15.75">
      <c r="A554" s="811"/>
      <c r="B554" s="811"/>
      <c r="C554" s="811"/>
      <c r="D554" s="811"/>
      <c r="E554" s="393" t="s">
        <v>2065</v>
      </c>
      <c r="F554" s="813"/>
      <c r="G554" s="813"/>
      <c r="H554" s="813"/>
      <c r="I554" s="813"/>
      <c r="J554" s="813"/>
      <c r="K554" s="813"/>
      <c r="L554" s="813"/>
      <c r="M554" s="813"/>
      <c r="N554" s="813"/>
      <c r="O554" s="813"/>
    </row>
    <row r="555" spans="1:15">
      <c r="A555" s="811"/>
      <c r="B555" s="811"/>
      <c r="C555" s="811"/>
      <c r="D555" s="811"/>
      <c r="E555" s="397" t="s">
        <v>2076</v>
      </c>
      <c r="F555" s="397">
        <v>0.81</v>
      </c>
      <c r="G555" s="397">
        <v>0.25</v>
      </c>
      <c r="H555" s="397">
        <f>F555*G555</f>
        <v>0.20250000000000001</v>
      </c>
      <c r="I555" s="397">
        <v>4</v>
      </c>
      <c r="J555" s="397">
        <f>H555*I555</f>
        <v>0.81</v>
      </c>
      <c r="K555" s="397">
        <f>J555*2</f>
        <v>1.62</v>
      </c>
      <c r="L555" s="397" t="s">
        <v>100</v>
      </c>
      <c r="M555" s="397" t="s">
        <v>100</v>
      </c>
      <c r="N555" s="397" t="s">
        <v>100</v>
      </c>
      <c r="O555" s="397">
        <f>SUM(K555:N555)</f>
        <v>1.62</v>
      </c>
    </row>
    <row r="556" spans="1:15">
      <c r="A556" s="811"/>
      <c r="B556" s="811"/>
      <c r="C556" s="811"/>
      <c r="D556" s="811"/>
      <c r="E556" s="397" t="s">
        <v>2081</v>
      </c>
      <c r="F556" s="397">
        <v>0.88</v>
      </c>
      <c r="G556" s="397">
        <v>0.25</v>
      </c>
      <c r="H556" s="397">
        <f>F556*G556</f>
        <v>0.22</v>
      </c>
      <c r="I556" s="397">
        <v>2</v>
      </c>
      <c r="J556" s="397">
        <f>H556*I556</f>
        <v>0.44</v>
      </c>
      <c r="K556" s="397">
        <f>J556*2</f>
        <v>0.88</v>
      </c>
      <c r="L556" s="397" t="s">
        <v>100</v>
      </c>
      <c r="M556" s="397" t="s">
        <v>100</v>
      </c>
      <c r="N556" s="397" t="s">
        <v>100</v>
      </c>
      <c r="O556" s="397">
        <f>SUM(K556:N556)</f>
        <v>0.88</v>
      </c>
    </row>
    <row r="557" spans="1:15">
      <c r="A557" s="811"/>
      <c r="B557" s="811"/>
      <c r="C557" s="811"/>
      <c r="D557" s="811"/>
      <c r="E557" s="397" t="s">
        <v>2084</v>
      </c>
      <c r="F557" s="397">
        <v>1.18</v>
      </c>
      <c r="G557" s="397">
        <v>0.25</v>
      </c>
      <c r="H557" s="397">
        <f>F557*G557</f>
        <v>0.29499999999999998</v>
      </c>
      <c r="I557" s="397">
        <v>5</v>
      </c>
      <c r="J557" s="397">
        <f>H557*I557</f>
        <v>1.4749999999999999</v>
      </c>
      <c r="K557" s="397">
        <f>J557*2</f>
        <v>2.9499999999999997</v>
      </c>
      <c r="L557" s="397" t="s">
        <v>100</v>
      </c>
      <c r="M557" s="397" t="s">
        <v>100</v>
      </c>
      <c r="N557" s="397" t="s">
        <v>100</v>
      </c>
      <c r="O557" s="397">
        <f>SUM(K557:N557)</f>
        <v>2.9499999999999997</v>
      </c>
    </row>
    <row r="558" spans="1:15">
      <c r="A558" s="811"/>
      <c r="B558" s="811"/>
      <c r="C558" s="811"/>
      <c r="D558" s="811"/>
      <c r="E558" s="397" t="s">
        <v>2083</v>
      </c>
      <c r="F558" s="397">
        <v>0.96</v>
      </c>
      <c r="G558" s="397">
        <v>0.14000000000000001</v>
      </c>
      <c r="H558" s="397">
        <f>F558*G558</f>
        <v>0.13440000000000002</v>
      </c>
      <c r="I558" s="397">
        <v>5</v>
      </c>
      <c r="J558" s="397">
        <f>H558*I558</f>
        <v>0.67200000000000015</v>
      </c>
      <c r="K558" s="397">
        <f>J558*2</f>
        <v>1.3440000000000003</v>
      </c>
      <c r="L558" s="397" t="s">
        <v>100</v>
      </c>
      <c r="M558" s="397" t="s">
        <v>100</v>
      </c>
      <c r="N558" s="397" t="s">
        <v>100</v>
      </c>
      <c r="O558" s="397">
        <f>SUM(K558:N558)</f>
        <v>1.3440000000000003</v>
      </c>
    </row>
    <row r="559" spans="1:15">
      <c r="A559" s="811"/>
      <c r="B559" s="811"/>
      <c r="C559" s="811"/>
      <c r="D559" s="811"/>
      <c r="E559" s="813"/>
      <c r="F559" s="813"/>
      <c r="G559" s="813"/>
      <c r="H559" s="813"/>
      <c r="I559" s="813"/>
      <c r="J559" s="813"/>
      <c r="K559" s="813"/>
      <c r="L559" s="813"/>
      <c r="M559" s="813"/>
      <c r="N559" s="813"/>
      <c r="O559" s="813"/>
    </row>
    <row r="560" spans="1:15" ht="15.75">
      <c r="A560" s="811"/>
      <c r="B560" s="811"/>
      <c r="C560" s="811"/>
      <c r="D560" s="811"/>
      <c r="E560" s="811"/>
      <c r="F560" s="811"/>
      <c r="G560" s="811"/>
      <c r="H560" s="811"/>
      <c r="I560" s="393" t="s">
        <v>2063</v>
      </c>
      <c r="J560" s="397">
        <f>SUM(J555:J558)</f>
        <v>3.3969999999999998</v>
      </c>
      <c r="K560" s="815"/>
      <c r="L560" s="815"/>
      <c r="M560" s="815"/>
      <c r="N560" s="393" t="s">
        <v>2063</v>
      </c>
      <c r="O560" s="397">
        <f>SUM(O555:O558)</f>
        <v>6.7939999999999996</v>
      </c>
    </row>
    <row r="561" spans="1:15" ht="15.75">
      <c r="A561" s="811"/>
      <c r="B561" s="811"/>
      <c r="C561" s="811"/>
      <c r="D561" s="811"/>
      <c r="E561" s="811"/>
      <c r="F561" s="811"/>
      <c r="G561" s="811"/>
      <c r="H561" s="811"/>
      <c r="I561" s="811"/>
      <c r="J561" s="811"/>
      <c r="K561" s="811"/>
      <c r="L561" s="811"/>
      <c r="M561" s="811"/>
      <c r="N561" s="811"/>
      <c r="O561" s="811"/>
    </row>
    <row r="562" spans="1:15" ht="78.75">
      <c r="A562" s="811"/>
      <c r="B562" s="811"/>
      <c r="C562" s="811"/>
      <c r="D562" s="811" t="s">
        <v>2087</v>
      </c>
      <c r="E562" s="393" t="s">
        <v>2072</v>
      </c>
      <c r="F562" s="394" t="s">
        <v>2071</v>
      </c>
      <c r="G562" s="393" t="s">
        <v>2070</v>
      </c>
      <c r="H562" s="393" t="s">
        <v>2060</v>
      </c>
      <c r="I562" s="393" t="s">
        <v>2059</v>
      </c>
      <c r="J562" s="393" t="s">
        <v>2069</v>
      </c>
      <c r="K562" s="394" t="s">
        <v>2068</v>
      </c>
      <c r="L562" s="394" t="s">
        <v>2057</v>
      </c>
      <c r="M562" s="394" t="s">
        <v>2056</v>
      </c>
      <c r="N562" s="394" t="s">
        <v>2067</v>
      </c>
      <c r="O562" s="394" t="s">
        <v>2066</v>
      </c>
    </row>
    <row r="563" spans="1:15" ht="15.75">
      <c r="A563" s="811"/>
      <c r="B563" s="811"/>
      <c r="C563" s="811"/>
      <c r="D563" s="811"/>
      <c r="E563" s="393" t="s">
        <v>2065</v>
      </c>
      <c r="F563" s="813"/>
      <c r="G563" s="813"/>
      <c r="H563" s="813"/>
      <c r="I563" s="813"/>
      <c r="J563" s="813"/>
      <c r="K563" s="813"/>
      <c r="L563" s="813"/>
      <c r="M563" s="813"/>
      <c r="N563" s="813"/>
      <c r="O563" s="813"/>
    </row>
    <row r="564" spans="1:15">
      <c r="A564" s="811"/>
      <c r="B564" s="811"/>
      <c r="C564" s="811"/>
      <c r="D564" s="811"/>
      <c r="E564" s="397" t="s">
        <v>2076</v>
      </c>
      <c r="F564" s="397">
        <v>0.81</v>
      </c>
      <c r="G564" s="397">
        <v>0.25</v>
      </c>
      <c r="H564" s="397">
        <f>F564*G564</f>
        <v>0.20250000000000001</v>
      </c>
      <c r="I564" s="397">
        <v>4</v>
      </c>
      <c r="J564" s="397">
        <f>H564*I564</f>
        <v>0.81</v>
      </c>
      <c r="K564" s="397">
        <f>J564*2</f>
        <v>1.62</v>
      </c>
      <c r="L564" s="397" t="s">
        <v>100</v>
      </c>
      <c r="M564" s="397" t="s">
        <v>100</v>
      </c>
      <c r="N564" s="397" t="s">
        <v>100</v>
      </c>
      <c r="O564" s="397">
        <f>SUM(K564:N564)</f>
        <v>1.62</v>
      </c>
    </row>
    <row r="565" spans="1:15">
      <c r="A565" s="811"/>
      <c r="B565" s="811"/>
      <c r="C565" s="811"/>
      <c r="D565" s="811"/>
      <c r="E565" s="397" t="s">
        <v>2081</v>
      </c>
      <c r="F565" s="397">
        <v>0.88</v>
      </c>
      <c r="G565" s="397">
        <v>0.25</v>
      </c>
      <c r="H565" s="397">
        <f>F565*G565</f>
        <v>0.22</v>
      </c>
      <c r="I565" s="397">
        <v>2</v>
      </c>
      <c r="J565" s="397">
        <f>H565*I565</f>
        <v>0.44</v>
      </c>
      <c r="K565" s="397">
        <f>J565*2</f>
        <v>0.88</v>
      </c>
      <c r="L565" s="397" t="s">
        <v>100</v>
      </c>
      <c r="M565" s="397" t="s">
        <v>100</v>
      </c>
      <c r="N565" s="397" t="s">
        <v>100</v>
      </c>
      <c r="O565" s="397">
        <f>SUM(K565:N565)</f>
        <v>0.88</v>
      </c>
    </row>
    <row r="566" spans="1:15">
      <c r="A566" s="811"/>
      <c r="B566" s="811"/>
      <c r="C566" s="811"/>
      <c r="D566" s="811"/>
      <c r="E566" s="397" t="s">
        <v>2084</v>
      </c>
      <c r="F566" s="397">
        <v>1.18</v>
      </c>
      <c r="G566" s="397">
        <v>0.25</v>
      </c>
      <c r="H566" s="397">
        <f>F566*G566</f>
        <v>0.29499999999999998</v>
      </c>
      <c r="I566" s="397">
        <v>5</v>
      </c>
      <c r="J566" s="397">
        <f>H566*I566</f>
        <v>1.4749999999999999</v>
      </c>
      <c r="K566" s="397">
        <f>J566*2</f>
        <v>2.9499999999999997</v>
      </c>
      <c r="L566" s="397" t="s">
        <v>100</v>
      </c>
      <c r="M566" s="397" t="s">
        <v>100</v>
      </c>
      <c r="N566" s="397" t="s">
        <v>100</v>
      </c>
      <c r="O566" s="397">
        <f>SUM(K566:N566)</f>
        <v>2.9499999999999997</v>
      </c>
    </row>
    <row r="567" spans="1:15">
      <c r="A567" s="811"/>
      <c r="B567" s="811"/>
      <c r="C567" s="811"/>
      <c r="D567" s="811"/>
      <c r="E567" s="397" t="s">
        <v>2083</v>
      </c>
      <c r="F567" s="397">
        <v>0.96</v>
      </c>
      <c r="G567" s="397">
        <v>0.14000000000000001</v>
      </c>
      <c r="H567" s="397">
        <f>F567*G567</f>
        <v>0.13440000000000002</v>
      </c>
      <c r="I567" s="397">
        <v>5</v>
      </c>
      <c r="J567" s="397">
        <f>H567*I567</f>
        <v>0.67200000000000015</v>
      </c>
      <c r="K567" s="397">
        <f>J567*2</f>
        <v>1.3440000000000003</v>
      </c>
      <c r="L567" s="397" t="s">
        <v>100</v>
      </c>
      <c r="M567" s="397" t="s">
        <v>100</v>
      </c>
      <c r="N567" s="397" t="s">
        <v>100</v>
      </c>
      <c r="O567" s="397">
        <f>SUM(K567:N567)</f>
        <v>1.3440000000000003</v>
      </c>
    </row>
    <row r="568" spans="1:15">
      <c r="A568" s="811"/>
      <c r="B568" s="811"/>
      <c r="C568" s="811"/>
      <c r="D568" s="811"/>
      <c r="E568" s="813"/>
      <c r="F568" s="813"/>
      <c r="G568" s="813"/>
      <c r="H568" s="813"/>
      <c r="I568" s="813"/>
      <c r="J568" s="813"/>
      <c r="K568" s="813"/>
      <c r="L568" s="813"/>
      <c r="M568" s="813"/>
      <c r="N568" s="813"/>
      <c r="O568" s="813"/>
    </row>
    <row r="569" spans="1:15" ht="15.75">
      <c r="A569" s="811"/>
      <c r="B569" s="811"/>
      <c r="C569" s="811"/>
      <c r="D569" s="811"/>
      <c r="E569" s="811"/>
      <c r="F569" s="811"/>
      <c r="G569" s="811"/>
      <c r="H569" s="811"/>
      <c r="I569" s="393" t="s">
        <v>2063</v>
      </c>
      <c r="J569" s="397">
        <f>SUM(J564:J567)</f>
        <v>3.3969999999999998</v>
      </c>
      <c r="K569" s="815"/>
      <c r="L569" s="815"/>
      <c r="M569" s="815"/>
      <c r="N569" s="393" t="s">
        <v>2063</v>
      </c>
      <c r="O569" s="397">
        <f>SUM(O564:O567)</f>
        <v>6.7939999999999996</v>
      </c>
    </row>
    <row r="570" spans="1:15" ht="15.75">
      <c r="A570" s="811"/>
      <c r="B570" s="811"/>
      <c r="C570" s="811"/>
      <c r="D570" s="400"/>
      <c r="E570" s="813"/>
      <c r="F570" s="813"/>
      <c r="G570" s="813"/>
      <c r="H570" s="813"/>
      <c r="I570" s="813"/>
      <c r="J570" s="813"/>
      <c r="K570" s="813"/>
      <c r="L570" s="813"/>
      <c r="M570" s="813"/>
      <c r="N570" s="813"/>
      <c r="O570" s="813"/>
    </row>
    <row r="571" spans="1:15" ht="78.75">
      <c r="A571" s="811"/>
      <c r="B571" s="811"/>
      <c r="C571" s="811"/>
      <c r="D571" s="811" t="s">
        <v>2086</v>
      </c>
      <c r="E571" s="393" t="s">
        <v>2072</v>
      </c>
      <c r="F571" s="394" t="s">
        <v>2071</v>
      </c>
      <c r="G571" s="393" t="s">
        <v>2070</v>
      </c>
      <c r="H571" s="393" t="s">
        <v>2060</v>
      </c>
      <c r="I571" s="393" t="s">
        <v>2059</v>
      </c>
      <c r="J571" s="393" t="s">
        <v>2069</v>
      </c>
      <c r="K571" s="394" t="s">
        <v>2068</v>
      </c>
      <c r="L571" s="394" t="s">
        <v>2057</v>
      </c>
      <c r="M571" s="394" t="s">
        <v>2056</v>
      </c>
      <c r="N571" s="394" t="s">
        <v>2067</v>
      </c>
      <c r="O571" s="394" t="s">
        <v>2066</v>
      </c>
    </row>
    <row r="572" spans="1:15" ht="15.75">
      <c r="A572" s="811"/>
      <c r="B572" s="811"/>
      <c r="C572" s="811"/>
      <c r="D572" s="811"/>
      <c r="E572" s="393" t="s">
        <v>2065</v>
      </c>
      <c r="F572" s="813"/>
      <c r="G572" s="813"/>
      <c r="H572" s="813"/>
      <c r="I572" s="813"/>
      <c r="J572" s="813"/>
      <c r="K572" s="813"/>
      <c r="L572" s="813"/>
      <c r="M572" s="813"/>
      <c r="N572" s="813"/>
      <c r="O572" s="813"/>
    </row>
    <row r="573" spans="1:15">
      <c r="A573" s="811"/>
      <c r="B573" s="811"/>
      <c r="C573" s="811"/>
      <c r="D573" s="811"/>
      <c r="E573" s="397" t="s">
        <v>2076</v>
      </c>
      <c r="F573" s="397">
        <v>0.81</v>
      </c>
      <c r="G573" s="397">
        <v>0.25</v>
      </c>
      <c r="H573" s="397">
        <f>F573*G573</f>
        <v>0.20250000000000001</v>
      </c>
      <c r="I573" s="397">
        <v>4</v>
      </c>
      <c r="J573" s="397">
        <f>H573*I573</f>
        <v>0.81</v>
      </c>
      <c r="K573" s="397">
        <f>J573*2</f>
        <v>1.62</v>
      </c>
      <c r="L573" s="397" t="s">
        <v>100</v>
      </c>
      <c r="M573" s="397" t="s">
        <v>100</v>
      </c>
      <c r="N573" s="397" t="s">
        <v>100</v>
      </c>
      <c r="O573" s="397">
        <f>SUM(K573:N573)</f>
        <v>1.62</v>
      </c>
    </row>
    <row r="574" spans="1:15">
      <c r="A574" s="811"/>
      <c r="B574" s="811"/>
      <c r="C574" s="811"/>
      <c r="D574" s="811"/>
      <c r="E574" s="397" t="s">
        <v>2081</v>
      </c>
      <c r="F574" s="397">
        <v>0.88</v>
      </c>
      <c r="G574" s="397">
        <v>0.25</v>
      </c>
      <c r="H574" s="397">
        <f>F574*G574</f>
        <v>0.22</v>
      </c>
      <c r="I574" s="397">
        <v>2</v>
      </c>
      <c r="J574" s="397">
        <f>H574*I574</f>
        <v>0.44</v>
      </c>
      <c r="K574" s="397">
        <f>J574*2</f>
        <v>0.88</v>
      </c>
      <c r="L574" s="397" t="s">
        <v>100</v>
      </c>
      <c r="M574" s="397" t="s">
        <v>100</v>
      </c>
      <c r="N574" s="397" t="s">
        <v>100</v>
      </c>
      <c r="O574" s="397">
        <f>SUM(K574:N574)</f>
        <v>0.88</v>
      </c>
    </row>
    <row r="575" spans="1:15">
      <c r="A575" s="811"/>
      <c r="B575" s="811"/>
      <c r="C575" s="811"/>
      <c r="D575" s="811"/>
      <c r="E575" s="397" t="s">
        <v>2084</v>
      </c>
      <c r="F575" s="397">
        <v>1.18</v>
      </c>
      <c r="G575" s="397">
        <v>0.25</v>
      </c>
      <c r="H575" s="397">
        <f>F575*G575</f>
        <v>0.29499999999999998</v>
      </c>
      <c r="I575" s="397">
        <v>12</v>
      </c>
      <c r="J575" s="397">
        <f>H575*I575</f>
        <v>3.54</v>
      </c>
      <c r="K575" s="397">
        <f>J575*2</f>
        <v>7.08</v>
      </c>
      <c r="L575" s="397" t="s">
        <v>100</v>
      </c>
      <c r="M575" s="397" t="s">
        <v>100</v>
      </c>
      <c r="N575" s="397" t="s">
        <v>100</v>
      </c>
      <c r="O575" s="397">
        <f>SUM(K575:N575)</f>
        <v>7.08</v>
      </c>
    </row>
    <row r="576" spans="1:15">
      <c r="A576" s="811"/>
      <c r="B576" s="811"/>
      <c r="C576" s="811"/>
      <c r="D576" s="811"/>
      <c r="E576" s="397" t="s">
        <v>2083</v>
      </c>
      <c r="F576" s="397">
        <v>0.96</v>
      </c>
      <c r="G576" s="397">
        <v>0.14000000000000001</v>
      </c>
      <c r="H576" s="397">
        <f>F576*G576</f>
        <v>0.13440000000000002</v>
      </c>
      <c r="I576" s="397">
        <v>12</v>
      </c>
      <c r="J576" s="397">
        <f>H576*I576</f>
        <v>1.6128000000000002</v>
      </c>
      <c r="K576" s="397">
        <f>J576*2</f>
        <v>3.2256000000000005</v>
      </c>
      <c r="L576" s="397" t="s">
        <v>100</v>
      </c>
      <c r="M576" s="397" t="s">
        <v>100</v>
      </c>
      <c r="N576" s="397" t="s">
        <v>100</v>
      </c>
      <c r="O576" s="397">
        <f>SUM(K576:N576)</f>
        <v>3.2256000000000005</v>
      </c>
    </row>
    <row r="577" spans="1:15">
      <c r="A577" s="811"/>
      <c r="B577" s="811"/>
      <c r="C577" s="811"/>
      <c r="D577" s="811"/>
      <c r="E577" s="813"/>
      <c r="F577" s="813"/>
      <c r="G577" s="813"/>
      <c r="H577" s="813"/>
      <c r="I577" s="813"/>
      <c r="J577" s="813"/>
      <c r="K577" s="813"/>
      <c r="L577" s="813"/>
      <c r="M577" s="813"/>
      <c r="N577" s="813"/>
      <c r="O577" s="813"/>
    </row>
    <row r="578" spans="1:15" ht="15.75">
      <c r="A578" s="811"/>
      <c r="B578" s="811"/>
      <c r="C578" s="811"/>
      <c r="D578" s="811"/>
      <c r="E578" s="811"/>
      <c r="F578" s="811"/>
      <c r="G578" s="811"/>
      <c r="H578" s="811"/>
      <c r="I578" s="393" t="s">
        <v>2063</v>
      </c>
      <c r="J578" s="397">
        <f>SUM(J573:J576)</f>
        <v>6.4028</v>
      </c>
      <c r="K578" s="815"/>
      <c r="L578" s="815"/>
      <c r="M578" s="815"/>
      <c r="N578" s="393" t="s">
        <v>2063</v>
      </c>
      <c r="O578" s="397">
        <f>SUM(O573:O576)</f>
        <v>12.8056</v>
      </c>
    </row>
    <row r="579" spans="1:15">
      <c r="A579" s="811"/>
      <c r="B579" s="811"/>
      <c r="C579" s="811"/>
      <c r="D579" s="10"/>
    </row>
    <row r="580" spans="1:15" ht="78.75">
      <c r="A580" s="811"/>
      <c r="B580" s="811"/>
      <c r="C580" s="811"/>
      <c r="D580" s="811" t="s">
        <v>2085</v>
      </c>
      <c r="E580" s="393" t="s">
        <v>2072</v>
      </c>
      <c r="F580" s="394" t="s">
        <v>2071</v>
      </c>
      <c r="G580" s="393" t="s">
        <v>2070</v>
      </c>
      <c r="H580" s="393" t="s">
        <v>2060</v>
      </c>
      <c r="I580" s="393" t="s">
        <v>2059</v>
      </c>
      <c r="J580" s="393" t="s">
        <v>2069</v>
      </c>
      <c r="K580" s="394" t="s">
        <v>2068</v>
      </c>
      <c r="L580" s="394" t="s">
        <v>2057</v>
      </c>
      <c r="M580" s="394" t="s">
        <v>2056</v>
      </c>
      <c r="N580" s="394" t="s">
        <v>2067</v>
      </c>
      <c r="O580" s="394" t="s">
        <v>2066</v>
      </c>
    </row>
    <row r="581" spans="1:15" ht="15.75">
      <c r="A581" s="811"/>
      <c r="B581" s="811"/>
      <c r="C581" s="811"/>
      <c r="D581" s="811"/>
      <c r="E581" s="393" t="s">
        <v>2065</v>
      </c>
      <c r="F581" s="813"/>
      <c r="G581" s="813"/>
      <c r="H581" s="813"/>
      <c r="I581" s="813"/>
      <c r="J581" s="813"/>
      <c r="K581" s="813"/>
      <c r="L581" s="813"/>
      <c r="M581" s="813"/>
      <c r="N581" s="813"/>
      <c r="O581" s="813"/>
    </row>
    <row r="582" spans="1:15">
      <c r="A582" s="811"/>
      <c r="B582" s="811"/>
      <c r="C582" s="811"/>
      <c r="D582" s="811"/>
      <c r="E582" s="397" t="s">
        <v>2076</v>
      </c>
      <c r="F582" s="397">
        <v>0.81</v>
      </c>
      <c r="G582" s="397">
        <v>0.25</v>
      </c>
      <c r="H582" s="397">
        <f>F582*G582</f>
        <v>0.20250000000000001</v>
      </c>
      <c r="I582" s="397">
        <v>4</v>
      </c>
      <c r="J582" s="397">
        <f>H582*I582</f>
        <v>0.81</v>
      </c>
      <c r="K582" s="397">
        <f>J582*2</f>
        <v>1.62</v>
      </c>
      <c r="L582" s="397" t="s">
        <v>100</v>
      </c>
      <c r="M582" s="397" t="s">
        <v>100</v>
      </c>
      <c r="N582" s="397" t="s">
        <v>100</v>
      </c>
      <c r="O582" s="397">
        <f>SUM(K582:N582)</f>
        <v>1.62</v>
      </c>
    </row>
    <row r="583" spans="1:15">
      <c r="A583" s="811"/>
      <c r="B583" s="811"/>
      <c r="C583" s="811"/>
      <c r="D583" s="811"/>
      <c r="E583" s="397" t="s">
        <v>2081</v>
      </c>
      <c r="F583" s="397">
        <v>0.88</v>
      </c>
      <c r="G583" s="397">
        <v>0.25</v>
      </c>
      <c r="H583" s="397">
        <f>F583*G583</f>
        <v>0.22</v>
      </c>
      <c r="I583" s="397">
        <v>2</v>
      </c>
      <c r="J583" s="397">
        <f>H583*I583</f>
        <v>0.44</v>
      </c>
      <c r="K583" s="397">
        <f>J583*2</f>
        <v>0.88</v>
      </c>
      <c r="L583" s="397" t="s">
        <v>100</v>
      </c>
      <c r="M583" s="397" t="s">
        <v>100</v>
      </c>
      <c r="N583" s="397" t="s">
        <v>100</v>
      </c>
      <c r="O583" s="397">
        <f>SUM(K583:N583)</f>
        <v>0.88</v>
      </c>
    </row>
    <row r="584" spans="1:15">
      <c r="A584" s="811"/>
      <c r="B584" s="811"/>
      <c r="C584" s="811"/>
      <c r="D584" s="811"/>
      <c r="E584" s="397" t="s">
        <v>2084</v>
      </c>
      <c r="F584" s="397">
        <v>1.18</v>
      </c>
      <c r="G584" s="397">
        <v>0.25</v>
      </c>
      <c r="H584" s="397">
        <f>F584*G584</f>
        <v>0.29499999999999998</v>
      </c>
      <c r="I584" s="397">
        <v>12</v>
      </c>
      <c r="J584" s="397">
        <f>H584*I584</f>
        <v>3.54</v>
      </c>
      <c r="K584" s="397">
        <f>J584*2</f>
        <v>7.08</v>
      </c>
      <c r="L584" s="397" t="s">
        <v>100</v>
      </c>
      <c r="M584" s="397" t="s">
        <v>100</v>
      </c>
      <c r="N584" s="397" t="s">
        <v>100</v>
      </c>
      <c r="O584" s="397">
        <f>SUM(K584:N584)</f>
        <v>7.08</v>
      </c>
    </row>
    <row r="585" spans="1:15">
      <c r="A585" s="811"/>
      <c r="B585" s="811"/>
      <c r="C585" s="811"/>
      <c r="D585" s="811"/>
      <c r="E585" s="397" t="s">
        <v>2083</v>
      </c>
      <c r="F585" s="397">
        <v>0.96</v>
      </c>
      <c r="G585" s="397">
        <v>0.14000000000000001</v>
      </c>
      <c r="H585" s="397">
        <f>F585*G585</f>
        <v>0.13440000000000002</v>
      </c>
      <c r="I585" s="397">
        <v>12</v>
      </c>
      <c r="J585" s="397">
        <f>H585*I585</f>
        <v>1.6128000000000002</v>
      </c>
      <c r="K585" s="397">
        <f>J585*2</f>
        <v>3.2256000000000005</v>
      </c>
      <c r="L585" s="397" t="s">
        <v>100</v>
      </c>
      <c r="M585" s="397" t="s">
        <v>100</v>
      </c>
      <c r="N585" s="397" t="s">
        <v>100</v>
      </c>
      <c r="O585" s="397">
        <f>SUM(K585:N585)</f>
        <v>3.2256000000000005</v>
      </c>
    </row>
    <row r="586" spans="1:15">
      <c r="A586" s="811"/>
      <c r="B586" s="811"/>
      <c r="C586" s="811"/>
      <c r="D586" s="811"/>
      <c r="E586" s="813"/>
      <c r="F586" s="813"/>
      <c r="G586" s="813"/>
      <c r="H586" s="813"/>
      <c r="I586" s="813"/>
      <c r="J586" s="813"/>
      <c r="K586" s="813"/>
      <c r="L586" s="813"/>
      <c r="M586" s="813"/>
      <c r="N586" s="813"/>
      <c r="O586" s="813"/>
    </row>
    <row r="587" spans="1:15" ht="15.75">
      <c r="A587" s="811"/>
      <c r="B587" s="811"/>
      <c r="C587" s="811"/>
      <c r="D587" s="811"/>
      <c r="E587" s="811"/>
      <c r="F587" s="811"/>
      <c r="G587" s="811"/>
      <c r="H587" s="811"/>
      <c r="I587" s="393" t="s">
        <v>2063</v>
      </c>
      <c r="J587" s="397">
        <f>SUM(J582:J585)</f>
        <v>6.4028</v>
      </c>
      <c r="K587" s="815"/>
      <c r="L587" s="815"/>
      <c r="M587" s="815"/>
      <c r="N587" s="393" t="s">
        <v>2063</v>
      </c>
      <c r="O587" s="397">
        <f>SUM(O582:O585)</f>
        <v>12.8056</v>
      </c>
    </row>
    <row r="588" spans="1:15">
      <c r="A588" s="811"/>
      <c r="B588" s="811"/>
      <c r="C588" s="811"/>
      <c r="D588" s="817"/>
      <c r="E588" s="817"/>
      <c r="F588" s="817"/>
      <c r="G588" s="817"/>
      <c r="H588" s="817"/>
      <c r="I588" s="817"/>
      <c r="J588" s="817"/>
      <c r="K588" s="817"/>
      <c r="L588" s="817"/>
      <c r="M588" s="817"/>
      <c r="N588" s="817"/>
      <c r="O588" s="817"/>
    </row>
    <row r="589" spans="1:15" ht="78.75">
      <c r="A589" s="811"/>
      <c r="B589" s="811" t="s">
        <v>1427</v>
      </c>
      <c r="C589" s="811"/>
      <c r="D589" s="811" t="s">
        <v>100</v>
      </c>
      <c r="E589" s="393" t="s">
        <v>100</v>
      </c>
      <c r="F589" s="393" t="s">
        <v>2062</v>
      </c>
      <c r="G589" s="393" t="s">
        <v>2061</v>
      </c>
      <c r="H589" s="393" t="s">
        <v>2060</v>
      </c>
      <c r="I589" s="393" t="s">
        <v>2059</v>
      </c>
      <c r="J589" s="393" t="s">
        <v>2054</v>
      </c>
      <c r="K589" s="394" t="s">
        <v>2058</v>
      </c>
      <c r="L589" s="394" t="s">
        <v>2057</v>
      </c>
      <c r="M589" s="394" t="s">
        <v>2056</v>
      </c>
      <c r="N589" s="394" t="s">
        <v>2055</v>
      </c>
      <c r="O589" s="394" t="s">
        <v>2054</v>
      </c>
    </row>
    <row r="590" spans="1:15">
      <c r="A590" s="811"/>
      <c r="B590" s="811"/>
      <c r="C590" s="811"/>
      <c r="D590" s="811"/>
      <c r="E590" s="397" t="s">
        <v>2064</v>
      </c>
      <c r="F590" s="397">
        <v>0.81</v>
      </c>
      <c r="G590" s="397">
        <v>0.25</v>
      </c>
      <c r="H590" s="397">
        <f>F590*G590</f>
        <v>0.20250000000000001</v>
      </c>
      <c r="I590" s="397">
        <v>17</v>
      </c>
      <c r="J590" s="397">
        <f>H590*I590</f>
        <v>3.4425000000000003</v>
      </c>
      <c r="K590" s="397">
        <f>J590*2</f>
        <v>6.8850000000000007</v>
      </c>
      <c r="L590" s="397" t="s">
        <v>100</v>
      </c>
      <c r="M590" s="397" t="s">
        <v>100</v>
      </c>
      <c r="N590" s="397" t="s">
        <v>100</v>
      </c>
      <c r="O590" s="397">
        <f>SUM(K590:N590)</f>
        <v>6.8850000000000007</v>
      </c>
    </row>
    <row r="591" spans="1:15">
      <c r="B591" s="811"/>
      <c r="C591" s="811"/>
      <c r="D591" s="811"/>
      <c r="E591" s="397" t="s">
        <v>2082</v>
      </c>
      <c r="F591" s="397">
        <v>0.14000000000000001</v>
      </c>
      <c r="G591" s="397">
        <v>0.96</v>
      </c>
      <c r="H591" s="397">
        <f>F591*G591</f>
        <v>0.13440000000000002</v>
      </c>
      <c r="I591" s="397">
        <v>17</v>
      </c>
      <c r="J591" s="397">
        <f>H591*I591</f>
        <v>2.2848000000000002</v>
      </c>
      <c r="K591" s="397">
        <f>J591*2</f>
        <v>4.5696000000000003</v>
      </c>
      <c r="L591" s="397" t="s">
        <v>100</v>
      </c>
      <c r="M591" s="397" t="s">
        <v>100</v>
      </c>
      <c r="N591" s="397" t="s">
        <v>100</v>
      </c>
      <c r="O591" s="397">
        <f>SUM(K591:N591)</f>
        <v>4.5696000000000003</v>
      </c>
    </row>
    <row r="592" spans="1:15">
      <c r="B592" s="811"/>
      <c r="C592" s="811"/>
      <c r="D592" s="811"/>
      <c r="E592" s="397" t="s">
        <v>2076</v>
      </c>
      <c r="F592" s="397">
        <v>0.81</v>
      </c>
      <c r="G592" s="397">
        <v>0.25</v>
      </c>
      <c r="H592" s="397">
        <f>F592*G592</f>
        <v>0.20250000000000001</v>
      </c>
      <c r="I592" s="397">
        <v>2</v>
      </c>
      <c r="J592" s="397">
        <f>H592*I592</f>
        <v>0.40500000000000003</v>
      </c>
      <c r="K592" s="397">
        <f>J592*2</f>
        <v>0.81</v>
      </c>
      <c r="L592" s="397" t="s">
        <v>100</v>
      </c>
      <c r="M592" s="397" t="s">
        <v>100</v>
      </c>
      <c r="N592" s="397" t="s">
        <v>100</v>
      </c>
      <c r="O592" s="397">
        <f>SUM(K592:N592)</f>
        <v>0.81</v>
      </c>
    </row>
    <row r="593" spans="1:15">
      <c r="B593" s="811"/>
      <c r="C593" s="811"/>
      <c r="D593" s="811"/>
      <c r="E593" s="397" t="s">
        <v>2081</v>
      </c>
      <c r="F593" s="397">
        <v>0.88</v>
      </c>
      <c r="G593" s="397">
        <v>0.25</v>
      </c>
      <c r="H593" s="397">
        <f>F593*G593</f>
        <v>0.22</v>
      </c>
      <c r="I593" s="397">
        <v>2</v>
      </c>
      <c r="J593" s="397">
        <f>H593*I593</f>
        <v>0.44</v>
      </c>
      <c r="K593" s="397">
        <f>J593*2</f>
        <v>0.88</v>
      </c>
      <c r="L593" s="397" t="s">
        <v>100</v>
      </c>
      <c r="M593" s="397" t="s">
        <v>100</v>
      </c>
      <c r="N593" s="397" t="s">
        <v>100</v>
      </c>
      <c r="O593" s="397">
        <f>SUM(K593:N593)</f>
        <v>0.88</v>
      </c>
    </row>
    <row r="594" spans="1:15">
      <c r="B594" s="811"/>
      <c r="C594" s="811"/>
      <c r="D594" s="811"/>
      <c r="E594" s="397" t="s">
        <v>2080</v>
      </c>
      <c r="F594" s="397">
        <v>0.14000000000000001</v>
      </c>
      <c r="G594" s="397">
        <v>0.96</v>
      </c>
      <c r="H594" s="397">
        <f>F594*G594</f>
        <v>0.13440000000000002</v>
      </c>
      <c r="I594" s="397">
        <v>3</v>
      </c>
      <c r="J594" s="397">
        <f>H594*I594</f>
        <v>0.40320000000000006</v>
      </c>
      <c r="K594" s="397">
        <f>J594*2</f>
        <v>0.80640000000000012</v>
      </c>
      <c r="L594" s="397" t="s">
        <v>100</v>
      </c>
      <c r="M594" s="397" t="s">
        <v>100</v>
      </c>
      <c r="N594" s="397" t="s">
        <v>100</v>
      </c>
      <c r="O594" s="397">
        <f>SUM(K594:N594)</f>
        <v>0.80640000000000012</v>
      </c>
    </row>
    <row r="595" spans="1:15" ht="15.75">
      <c r="B595" s="811"/>
      <c r="C595" s="811"/>
      <c r="D595" s="3"/>
      <c r="E595" s="811"/>
      <c r="F595" s="811"/>
      <c r="G595" s="811"/>
      <c r="H595" s="811"/>
      <c r="I595" s="393" t="s">
        <v>2063</v>
      </c>
      <c r="J595" s="397">
        <f>SUM(J590:J594)</f>
        <v>6.9755000000000011</v>
      </c>
      <c r="K595" s="815"/>
      <c r="L595" s="815"/>
      <c r="M595" s="815"/>
      <c r="N595" s="393" t="s">
        <v>2063</v>
      </c>
      <c r="O595" s="397">
        <f>SUM(O590:O594)</f>
        <v>13.951000000000002</v>
      </c>
    </row>
    <row r="596" spans="1:15">
      <c r="E596" s="3"/>
      <c r="F596" s="3"/>
      <c r="G596" s="3"/>
      <c r="H596" s="3"/>
      <c r="I596" s="3"/>
      <c r="J596" s="3"/>
      <c r="K596" s="3"/>
      <c r="L596" s="3"/>
      <c r="M596" s="3"/>
      <c r="N596" s="3"/>
      <c r="O596" s="3"/>
    </row>
    <row r="597" spans="1:15" ht="78.75">
      <c r="C597" s="810" t="s">
        <v>2063</v>
      </c>
      <c r="D597" s="810"/>
      <c r="E597" s="396" t="s">
        <v>100</v>
      </c>
      <c r="F597" s="396" t="s">
        <v>2062</v>
      </c>
      <c r="G597" s="396" t="s">
        <v>2061</v>
      </c>
      <c r="H597" s="396" t="s">
        <v>2060</v>
      </c>
      <c r="I597" s="396" t="s">
        <v>2059</v>
      </c>
      <c r="J597" s="396" t="s">
        <v>2054</v>
      </c>
      <c r="K597" s="395" t="s">
        <v>2058</v>
      </c>
      <c r="L597" s="395" t="s">
        <v>2057</v>
      </c>
      <c r="M597" s="395" t="s">
        <v>2056</v>
      </c>
      <c r="N597" s="395" t="s">
        <v>2055</v>
      </c>
      <c r="O597" s="395" t="s">
        <v>2054</v>
      </c>
    </row>
    <row r="598" spans="1:15">
      <c r="C598" s="810"/>
      <c r="D598" s="810"/>
      <c r="E598" s="392"/>
      <c r="F598" s="392"/>
      <c r="G598" s="392"/>
      <c r="H598" s="392"/>
      <c r="I598" s="391">
        <f>SUM(I537:I540,I546:I549,I555:I558,I564:I567,I573:I576,I582:I585,I590:I594)</f>
        <v>165</v>
      </c>
      <c r="J598" s="391">
        <f>SUM(J595,J587,J578,J569,J560,J551,J542)</f>
        <v>33.369099999999996</v>
      </c>
      <c r="K598" s="391">
        <f>SUM(K590:K594,K582:K585,K574:K576,K573,K564:K567,K555:K558,K546:K549,K537:K540)</f>
        <v>66.738200000000006</v>
      </c>
      <c r="L598" s="391">
        <f>SUM(L537:L540,L546:L549,L555:L558,L564:L567,L573:L576,L582:L585,L590:L594)</f>
        <v>0</v>
      </c>
      <c r="M598" s="391">
        <f>SUM(M537:M540,M546:M549,M555:M558,M564:M567,M573:M576,M582:M585,M590:M594)</f>
        <v>0</v>
      </c>
      <c r="N598" s="391">
        <f>SUM(N537:N540,N546:N549,N555:N558,N564:N567,N573:N576,N582:N585,N590:N594)</f>
        <v>0</v>
      </c>
      <c r="O598" s="391">
        <f>SUM(O542,O551,O560,O569,O578,O587,O595)</f>
        <v>66.738200000000006</v>
      </c>
    </row>
    <row r="603" spans="1:15" ht="18.75">
      <c r="A603" s="814" t="s">
        <v>2079</v>
      </c>
      <c r="B603" s="814"/>
      <c r="C603" s="814"/>
      <c r="D603" s="814"/>
      <c r="E603" s="814"/>
      <c r="F603" s="814"/>
      <c r="G603" s="814"/>
      <c r="H603" s="814"/>
      <c r="I603" s="814"/>
      <c r="J603" s="814"/>
      <c r="K603" s="814"/>
      <c r="L603" s="814"/>
      <c r="M603" s="814"/>
      <c r="N603" s="814"/>
      <c r="O603" s="814"/>
    </row>
    <row r="604" spans="1:15" ht="78.75">
      <c r="A604" s="811" t="s">
        <v>2078</v>
      </c>
      <c r="B604" s="812" t="s">
        <v>2077</v>
      </c>
      <c r="C604" s="811" t="s">
        <v>219</v>
      </c>
      <c r="D604" s="393" t="s">
        <v>2072</v>
      </c>
      <c r="E604" s="394" t="s">
        <v>2071</v>
      </c>
      <c r="F604" s="393" t="s">
        <v>2070</v>
      </c>
      <c r="G604" s="393" t="s">
        <v>2060</v>
      </c>
      <c r="H604" s="393" t="s">
        <v>2059</v>
      </c>
      <c r="I604" s="393" t="s">
        <v>2069</v>
      </c>
      <c r="J604" s="394" t="s">
        <v>2068</v>
      </c>
      <c r="K604" s="394" t="s">
        <v>2057</v>
      </c>
      <c r="L604" s="394" t="s">
        <v>2056</v>
      </c>
      <c r="M604" s="394" t="s">
        <v>2067</v>
      </c>
      <c r="N604" s="394" t="s">
        <v>2066</v>
      </c>
      <c r="O604" s="40"/>
    </row>
    <row r="605" spans="1:15" ht="15.75">
      <c r="A605" s="811"/>
      <c r="B605" s="812"/>
      <c r="C605" s="811"/>
      <c r="D605" s="393" t="s">
        <v>2065</v>
      </c>
      <c r="E605" s="816"/>
      <c r="F605" s="816"/>
      <c r="G605" s="816"/>
      <c r="H605" s="816"/>
      <c r="I605" s="816"/>
      <c r="J605" s="816"/>
      <c r="K605" s="816"/>
      <c r="L605" s="816"/>
      <c r="M605" s="816"/>
      <c r="N605" s="816"/>
    </row>
    <row r="606" spans="1:15">
      <c r="A606" s="811"/>
      <c r="B606" s="812"/>
      <c r="C606" s="811"/>
      <c r="D606" s="397" t="s">
        <v>2064</v>
      </c>
      <c r="E606" s="397">
        <v>0.72</v>
      </c>
      <c r="F606" s="397">
        <v>0.15</v>
      </c>
      <c r="G606" s="397">
        <f>E606*F606</f>
        <v>0.108</v>
      </c>
      <c r="H606" s="397">
        <v>26</v>
      </c>
      <c r="I606" s="397">
        <f>G606*H606</f>
        <v>2.8079999999999998</v>
      </c>
      <c r="J606" s="397">
        <f>I606*2</f>
        <v>5.6159999999999997</v>
      </c>
      <c r="K606" s="397" t="s">
        <v>100</v>
      </c>
      <c r="L606" s="397" t="s">
        <v>100</v>
      </c>
      <c r="M606" s="397" t="s">
        <v>100</v>
      </c>
      <c r="N606" s="397">
        <f>SUM(J606:M606)</f>
        <v>5.6159999999999997</v>
      </c>
    </row>
    <row r="607" spans="1:15">
      <c r="A607" s="811"/>
      <c r="B607" s="812"/>
      <c r="C607" s="811"/>
      <c r="D607" s="397" t="s">
        <v>2076</v>
      </c>
      <c r="E607" s="397">
        <v>0.92</v>
      </c>
      <c r="F607" s="397">
        <v>0.15</v>
      </c>
      <c r="G607" s="397">
        <f>E607*F607</f>
        <v>0.13800000000000001</v>
      </c>
      <c r="H607" s="397">
        <v>2</v>
      </c>
      <c r="I607" s="397">
        <f>G607*H607</f>
        <v>0.27600000000000002</v>
      </c>
      <c r="J607" s="397">
        <f>I607*2</f>
        <v>0.55200000000000005</v>
      </c>
      <c r="K607" s="397" t="s">
        <v>100</v>
      </c>
      <c r="L607" s="397" t="s">
        <v>100</v>
      </c>
      <c r="M607" s="397" t="s">
        <v>100</v>
      </c>
      <c r="N607" s="397">
        <f>SUM(J607:M607)</f>
        <v>0.55200000000000005</v>
      </c>
    </row>
    <row r="608" spans="1:15">
      <c r="A608" s="811"/>
      <c r="B608" s="812"/>
      <c r="C608" s="811"/>
      <c r="D608" s="397" t="s">
        <v>2075</v>
      </c>
      <c r="E608" s="397">
        <v>2.9</v>
      </c>
      <c r="F608" s="397">
        <v>0.15</v>
      </c>
      <c r="G608" s="397">
        <f>E608*F608</f>
        <v>0.435</v>
      </c>
      <c r="H608" s="397">
        <v>1</v>
      </c>
      <c r="I608" s="397">
        <f>G608*H608</f>
        <v>0.435</v>
      </c>
      <c r="J608" s="397">
        <f>I608*2</f>
        <v>0.87</v>
      </c>
      <c r="K608" s="397" t="s">
        <v>100</v>
      </c>
      <c r="L608" s="397" t="s">
        <v>100</v>
      </c>
      <c r="M608" s="397" t="s">
        <v>100</v>
      </c>
      <c r="N608" s="397">
        <f>SUM(J608:M608)</f>
        <v>0.87</v>
      </c>
    </row>
    <row r="609" spans="1:15">
      <c r="A609" s="811"/>
      <c r="B609" s="812"/>
      <c r="C609" s="811"/>
      <c r="D609" s="397" t="s">
        <v>2074</v>
      </c>
      <c r="E609" s="397">
        <v>4.5</v>
      </c>
      <c r="F609" s="397">
        <v>0.15</v>
      </c>
      <c r="G609" s="397">
        <f>E609*F609</f>
        <v>0.67499999999999993</v>
      </c>
      <c r="H609" s="397">
        <v>1</v>
      </c>
      <c r="I609" s="397">
        <f>G609*H609</f>
        <v>0.67499999999999993</v>
      </c>
      <c r="J609" s="397">
        <f>I609*2</f>
        <v>1.3499999999999999</v>
      </c>
      <c r="K609" s="397" t="s">
        <v>100</v>
      </c>
      <c r="L609" s="397" t="s">
        <v>100</v>
      </c>
      <c r="M609" s="397" t="s">
        <v>100</v>
      </c>
      <c r="N609" s="397">
        <f>SUM(J609:M609)</f>
        <v>1.3499999999999999</v>
      </c>
    </row>
    <row r="610" spans="1:15">
      <c r="A610" s="811"/>
      <c r="B610" s="812"/>
      <c r="C610" s="811"/>
      <c r="D610" s="813"/>
      <c r="E610" s="813"/>
      <c r="F610" s="813"/>
      <c r="G610" s="813"/>
      <c r="H610" s="813"/>
      <c r="I610" s="813"/>
      <c r="J610" s="813"/>
      <c r="K610" s="813"/>
      <c r="L610" s="813"/>
      <c r="M610" s="813"/>
      <c r="N610" s="813"/>
    </row>
    <row r="611" spans="1:15" ht="15.75">
      <c r="A611" s="811"/>
      <c r="B611" s="812"/>
      <c r="C611" s="811"/>
      <c r="D611" s="811"/>
      <c r="E611" s="811"/>
      <c r="F611" s="811"/>
      <c r="G611" s="811"/>
      <c r="H611" s="393" t="s">
        <v>2063</v>
      </c>
      <c r="I611" s="397">
        <f>SUM(I606:I609)</f>
        <v>4.194</v>
      </c>
      <c r="J611" s="815"/>
      <c r="K611" s="815"/>
      <c r="L611" s="815"/>
      <c r="M611" s="393" t="s">
        <v>2063</v>
      </c>
      <c r="N611" s="397">
        <f>SUM(N607:N609)</f>
        <v>2.7720000000000002</v>
      </c>
    </row>
    <row r="612" spans="1:15" ht="15.75">
      <c r="A612" s="811"/>
      <c r="B612" s="812"/>
      <c r="C612" s="811"/>
      <c r="D612" s="811"/>
      <c r="E612" s="811"/>
      <c r="F612" s="811"/>
      <c r="G612" s="811"/>
      <c r="H612" s="811"/>
      <c r="I612" s="811"/>
      <c r="J612" s="811"/>
      <c r="K612" s="811"/>
      <c r="L612" s="811"/>
      <c r="M612" s="811"/>
      <c r="N612" s="811"/>
    </row>
    <row r="613" spans="1:15" ht="78.75">
      <c r="A613" s="811"/>
      <c r="B613" s="812"/>
      <c r="C613" s="812" t="s">
        <v>2073</v>
      </c>
      <c r="D613" s="393" t="s">
        <v>2072</v>
      </c>
      <c r="E613" s="394" t="s">
        <v>2071</v>
      </c>
      <c r="F613" s="393" t="s">
        <v>2070</v>
      </c>
      <c r="G613" s="393" t="s">
        <v>2060</v>
      </c>
      <c r="H613" s="393" t="s">
        <v>2059</v>
      </c>
      <c r="I613" s="393" t="s">
        <v>2069</v>
      </c>
      <c r="J613" s="394" t="s">
        <v>2068</v>
      </c>
      <c r="K613" s="394" t="s">
        <v>2057</v>
      </c>
      <c r="L613" s="394" t="s">
        <v>2056</v>
      </c>
      <c r="M613" s="394" t="s">
        <v>2067</v>
      </c>
      <c r="N613" s="394" t="s">
        <v>2066</v>
      </c>
    </row>
    <row r="614" spans="1:15" ht="15.75">
      <c r="A614" s="811"/>
      <c r="B614" s="812"/>
      <c r="C614" s="812"/>
      <c r="D614" s="393" t="s">
        <v>2065</v>
      </c>
      <c r="E614" s="816"/>
      <c r="F614" s="816"/>
      <c r="G614" s="816"/>
      <c r="H614" s="816"/>
      <c r="I614" s="816"/>
      <c r="J614" s="816"/>
      <c r="K614" s="816"/>
      <c r="L614" s="816"/>
      <c r="M614" s="816"/>
      <c r="N614" s="816"/>
    </row>
    <row r="615" spans="1:15">
      <c r="A615" s="811"/>
      <c r="B615" s="812"/>
      <c r="C615" s="812"/>
      <c r="D615" s="397" t="s">
        <v>2064</v>
      </c>
      <c r="E615" s="397">
        <v>0.72</v>
      </c>
      <c r="F615" s="397">
        <v>0.15</v>
      </c>
      <c r="G615" s="397">
        <f>E615*F615</f>
        <v>0.108</v>
      </c>
      <c r="H615" s="397">
        <v>36</v>
      </c>
      <c r="I615" s="397">
        <f>G615*H615</f>
        <v>3.8879999999999999</v>
      </c>
      <c r="J615" s="397">
        <f>I615*2</f>
        <v>7.7759999999999998</v>
      </c>
      <c r="K615" s="397" t="s">
        <v>100</v>
      </c>
      <c r="L615" s="397" t="s">
        <v>100</v>
      </c>
      <c r="M615" s="397" t="s">
        <v>100</v>
      </c>
      <c r="N615" s="397">
        <f>SUM(J615:M615)</f>
        <v>7.7759999999999998</v>
      </c>
    </row>
    <row r="616" spans="1:15">
      <c r="A616" s="811"/>
      <c r="B616" s="812"/>
      <c r="C616" s="812"/>
      <c r="D616" s="813"/>
      <c r="E616" s="813"/>
      <c r="F616" s="813"/>
      <c r="G616" s="813"/>
      <c r="H616" s="813"/>
      <c r="I616" s="813"/>
      <c r="J616" s="813"/>
      <c r="K616" s="813"/>
      <c r="L616" s="813"/>
      <c r="M616" s="813"/>
      <c r="N616" s="813"/>
    </row>
    <row r="617" spans="1:15" ht="15.75">
      <c r="A617" s="811"/>
      <c r="B617" s="812"/>
      <c r="C617" s="812"/>
      <c r="D617" s="811"/>
      <c r="E617" s="811"/>
      <c r="F617" s="811"/>
      <c r="G617" s="811"/>
      <c r="H617" s="393" t="s">
        <v>2063</v>
      </c>
      <c r="I617" s="397">
        <f>SUM(I615:I615)</f>
        <v>3.8879999999999999</v>
      </c>
      <c r="J617" s="815"/>
      <c r="K617" s="815"/>
      <c r="L617" s="815"/>
      <c r="M617" s="393" t="s">
        <v>2063</v>
      </c>
      <c r="N617" s="397">
        <f>SUM(N615:N615)</f>
        <v>7.7759999999999998</v>
      </c>
    </row>
    <row r="618" spans="1:15" ht="15.75">
      <c r="A618" s="811"/>
      <c r="B618" s="812" t="s">
        <v>595</v>
      </c>
      <c r="C618" s="812"/>
      <c r="D618" s="812"/>
      <c r="E618" s="812"/>
      <c r="F618" s="812"/>
      <c r="G618" s="812"/>
      <c r="H618" s="812"/>
      <c r="I618" s="812"/>
      <c r="J618" s="812"/>
      <c r="K618" s="812"/>
      <c r="L618" s="812"/>
      <c r="M618" s="812"/>
      <c r="N618" s="812"/>
    </row>
    <row r="619" spans="1:15" ht="78.75">
      <c r="A619" s="811"/>
      <c r="B619" s="812"/>
      <c r="C619" s="812" t="s">
        <v>100</v>
      </c>
      <c r="D619" s="393" t="s">
        <v>2072</v>
      </c>
      <c r="E619" s="394" t="s">
        <v>2071</v>
      </c>
      <c r="F619" s="393" t="s">
        <v>2070</v>
      </c>
      <c r="G619" s="393" t="s">
        <v>2060</v>
      </c>
      <c r="H619" s="393" t="s">
        <v>2059</v>
      </c>
      <c r="I619" s="393" t="s">
        <v>2069</v>
      </c>
      <c r="J619" s="394" t="s">
        <v>2068</v>
      </c>
      <c r="K619" s="394" t="s">
        <v>2057</v>
      </c>
      <c r="L619" s="394" t="s">
        <v>2056</v>
      </c>
      <c r="M619" s="394" t="s">
        <v>2067</v>
      </c>
      <c r="N619" s="394" t="s">
        <v>2066</v>
      </c>
    </row>
    <row r="620" spans="1:15" ht="15.75">
      <c r="A620" s="811"/>
      <c r="B620" s="812"/>
      <c r="C620" s="812"/>
      <c r="D620" s="393" t="s">
        <v>2065</v>
      </c>
      <c r="E620" s="813"/>
      <c r="F620" s="813"/>
      <c r="G620" s="813"/>
      <c r="H620" s="813"/>
      <c r="I620" s="813"/>
      <c r="J620" s="813"/>
      <c r="K620" s="813"/>
      <c r="L620" s="813"/>
      <c r="M620" s="813"/>
      <c r="N620" s="813"/>
    </row>
    <row r="621" spans="1:15">
      <c r="A621" s="811"/>
      <c r="B621" s="812"/>
      <c r="C621" s="812"/>
      <c r="D621" s="397" t="s">
        <v>2064</v>
      </c>
      <c r="E621" s="397">
        <v>0.9</v>
      </c>
      <c r="F621" s="397">
        <v>0.315</v>
      </c>
      <c r="G621" s="397">
        <f>E621*F621</f>
        <v>0.28350000000000003</v>
      </c>
      <c r="H621" s="397">
        <v>2</v>
      </c>
      <c r="I621" s="397">
        <f>G621*H621</f>
        <v>0.56700000000000006</v>
      </c>
      <c r="J621" s="397">
        <f>I621*2</f>
        <v>1.1340000000000001</v>
      </c>
      <c r="K621" s="397" t="s">
        <v>100</v>
      </c>
      <c r="L621" s="397" t="s">
        <v>100</v>
      </c>
      <c r="M621" s="397" t="s">
        <v>100</v>
      </c>
      <c r="N621" s="397">
        <f>SUM(J621:M621)</f>
        <v>1.1340000000000001</v>
      </c>
      <c r="O621" s="397"/>
    </row>
    <row r="622" spans="1:15" ht="15.75">
      <c r="A622" s="811"/>
      <c r="B622" s="812"/>
      <c r="C622" s="812"/>
      <c r="D622" s="811"/>
      <c r="E622" s="811"/>
      <c r="F622" s="811"/>
      <c r="G622" s="811"/>
      <c r="H622" s="811"/>
      <c r="I622" s="811"/>
      <c r="J622" s="811"/>
      <c r="K622" s="811"/>
      <c r="L622" s="811"/>
      <c r="M622" s="811"/>
      <c r="N622" s="811"/>
      <c r="O622" s="390"/>
    </row>
    <row r="623" spans="1:15" ht="15.75">
      <c r="A623" s="811"/>
      <c r="B623" s="812"/>
      <c r="C623" s="812"/>
      <c r="D623" s="811"/>
      <c r="E623" s="811"/>
      <c r="F623" s="811"/>
      <c r="G623" s="811"/>
      <c r="H623" s="393" t="s">
        <v>2063</v>
      </c>
      <c r="I623" s="397">
        <v>4.194</v>
      </c>
      <c r="J623" s="811"/>
      <c r="K623" s="811"/>
      <c r="L623" s="811"/>
      <c r="M623" s="393" t="s">
        <v>2063</v>
      </c>
      <c r="N623" s="397">
        <v>2.7720000000000002</v>
      </c>
      <c r="O623" s="397"/>
    </row>
    <row r="624" spans="1:15" ht="15.75">
      <c r="A624" s="811"/>
      <c r="B624" s="812"/>
      <c r="C624" s="812"/>
      <c r="D624" s="812"/>
      <c r="E624" s="812"/>
      <c r="F624" s="812"/>
      <c r="G624" s="812"/>
      <c r="H624" s="812"/>
      <c r="I624" s="812"/>
      <c r="J624" s="812"/>
      <c r="K624" s="812"/>
      <c r="L624" s="812"/>
      <c r="M624" s="812"/>
      <c r="N624" s="812"/>
      <c r="O624" s="393"/>
    </row>
    <row r="625" spans="1:15" ht="78.75">
      <c r="A625" s="811"/>
      <c r="B625" s="810" t="s">
        <v>2063</v>
      </c>
      <c r="C625" s="810"/>
      <c r="D625" s="396" t="s">
        <v>100</v>
      </c>
      <c r="E625" s="396" t="s">
        <v>2062</v>
      </c>
      <c r="F625" s="396" t="s">
        <v>2061</v>
      </c>
      <c r="G625" s="396" t="s">
        <v>2060</v>
      </c>
      <c r="H625" s="396" t="s">
        <v>2059</v>
      </c>
      <c r="I625" s="396" t="s">
        <v>2054</v>
      </c>
      <c r="J625" s="395" t="s">
        <v>2058</v>
      </c>
      <c r="K625" s="395" t="s">
        <v>2057</v>
      </c>
      <c r="L625" s="395" t="s">
        <v>2056</v>
      </c>
      <c r="M625" s="395" t="s">
        <v>2055</v>
      </c>
      <c r="N625" s="395" t="s">
        <v>2054</v>
      </c>
      <c r="O625" s="394"/>
    </row>
    <row r="626" spans="1:15">
      <c r="A626" s="811"/>
      <c r="B626" s="810"/>
      <c r="C626" s="810"/>
      <c r="D626" s="392"/>
      <c r="E626" s="392"/>
      <c r="F626" s="392"/>
      <c r="G626" s="392"/>
      <c r="H626" s="391">
        <f>SUM(H621,H606:H609,H615)</f>
        <v>68</v>
      </c>
      <c r="I626" s="391">
        <f>SUM(I611,I617,I623)</f>
        <v>12.276</v>
      </c>
      <c r="J626" s="391">
        <f>SUM(J606:J609,J615,J621)</f>
        <v>17.298000000000002</v>
      </c>
      <c r="K626" s="391">
        <f>SUM(K606:K609,K615,K621)</f>
        <v>0</v>
      </c>
      <c r="L626" s="391">
        <f>SUM(L606:L609,L615,L621)</f>
        <v>0</v>
      </c>
      <c r="M626" s="391">
        <f>SUM(M606:M609,M615,M621)</f>
        <v>0</v>
      </c>
      <c r="N626" s="391">
        <f>SUM(N611,N617,N623)</f>
        <v>13.32</v>
      </c>
      <c r="O626" s="390"/>
    </row>
    <row r="629" spans="1:15">
      <c r="A629" s="443" t="s">
        <v>2464</v>
      </c>
    </row>
    <row r="630" spans="1:15" s="219" customFormat="1" ht="78.75">
      <c r="A630" s="441" t="s">
        <v>2369</v>
      </c>
      <c r="B630" s="441" t="s">
        <v>2428</v>
      </c>
      <c r="C630" s="441" t="s">
        <v>2429</v>
      </c>
      <c r="D630" s="441" t="s">
        <v>2430</v>
      </c>
      <c r="E630" s="441" t="s">
        <v>2059</v>
      </c>
      <c r="F630" s="441" t="s">
        <v>2094</v>
      </c>
      <c r="G630" s="441" t="s">
        <v>2095</v>
      </c>
      <c r="H630" s="441" t="s">
        <v>2431</v>
      </c>
      <c r="I630" s="442" t="s">
        <v>2068</v>
      </c>
      <c r="J630" s="442" t="s">
        <v>2057</v>
      </c>
      <c r="K630" s="442" t="s">
        <v>2056</v>
      </c>
      <c r="L630" s="442" t="s">
        <v>2067</v>
      </c>
      <c r="M630" s="394"/>
    </row>
    <row r="631" spans="1:15">
      <c r="A631" t="s">
        <v>2369</v>
      </c>
      <c r="B631" t="s">
        <v>1383</v>
      </c>
      <c r="C631" t="s">
        <v>2372</v>
      </c>
      <c r="D631" t="s">
        <v>1352</v>
      </c>
      <c r="E631">
        <v>2</v>
      </c>
      <c r="F631">
        <v>0.9</v>
      </c>
      <c r="G631">
        <v>1.6</v>
      </c>
      <c r="H631">
        <f>TRUNC(E631*F631*G631,2)</f>
        <v>2.88</v>
      </c>
      <c r="I631">
        <f>H631</f>
        <v>2.88</v>
      </c>
      <c r="J631">
        <f>I631</f>
        <v>2.88</v>
      </c>
    </row>
    <row r="632" spans="1:15">
      <c r="A632" t="s">
        <v>2369</v>
      </c>
      <c r="B632" t="s">
        <v>1383</v>
      </c>
      <c r="C632" t="s">
        <v>2374</v>
      </c>
      <c r="D632" t="s">
        <v>1352</v>
      </c>
      <c r="E632">
        <v>2</v>
      </c>
      <c r="F632">
        <v>0.9</v>
      </c>
      <c r="G632">
        <v>1.6</v>
      </c>
      <c r="H632">
        <f t="shared" ref="H632:H655" si="19">TRUNC(E632*F632*G632,2)</f>
        <v>2.88</v>
      </c>
      <c r="I632">
        <f t="shared" ref="I632:J655" si="20">H632</f>
        <v>2.88</v>
      </c>
      <c r="J632">
        <f t="shared" si="20"/>
        <v>2.88</v>
      </c>
    </row>
    <row r="633" spans="1:15">
      <c r="A633" t="s">
        <v>2369</v>
      </c>
      <c r="B633" t="s">
        <v>1383</v>
      </c>
      <c r="C633" t="s">
        <v>2432</v>
      </c>
      <c r="D633" t="s">
        <v>1351</v>
      </c>
      <c r="E633">
        <v>4</v>
      </c>
      <c r="F633">
        <v>1.4</v>
      </c>
      <c r="G633">
        <v>1.4</v>
      </c>
      <c r="H633">
        <f t="shared" si="19"/>
        <v>7.84</v>
      </c>
      <c r="I633">
        <f t="shared" si="20"/>
        <v>7.84</v>
      </c>
      <c r="J633">
        <f t="shared" si="20"/>
        <v>7.84</v>
      </c>
    </row>
    <row r="634" spans="1:15">
      <c r="A634" t="s">
        <v>2369</v>
      </c>
      <c r="B634" t="s">
        <v>1383</v>
      </c>
      <c r="C634" t="s">
        <v>2433</v>
      </c>
      <c r="D634" t="s">
        <v>1351</v>
      </c>
      <c r="E634">
        <v>4</v>
      </c>
      <c r="F634">
        <v>1.4</v>
      </c>
      <c r="G634">
        <v>1.4</v>
      </c>
      <c r="H634">
        <f t="shared" si="19"/>
        <v>7.84</v>
      </c>
      <c r="I634">
        <f t="shared" si="20"/>
        <v>7.84</v>
      </c>
      <c r="J634">
        <f t="shared" si="20"/>
        <v>7.84</v>
      </c>
    </row>
    <row r="635" spans="1:15">
      <c r="A635" t="s">
        <v>2369</v>
      </c>
      <c r="B635" t="s">
        <v>1383</v>
      </c>
      <c r="C635" t="s">
        <v>2434</v>
      </c>
      <c r="D635" t="s">
        <v>1351</v>
      </c>
      <c r="E635">
        <v>4</v>
      </c>
      <c r="F635">
        <v>1.4</v>
      </c>
      <c r="G635">
        <v>1.4</v>
      </c>
      <c r="H635">
        <f t="shared" si="19"/>
        <v>7.84</v>
      </c>
      <c r="I635">
        <f t="shared" si="20"/>
        <v>7.84</v>
      </c>
      <c r="J635">
        <f t="shared" si="20"/>
        <v>7.84</v>
      </c>
    </row>
    <row r="636" spans="1:15">
      <c r="A636" t="s">
        <v>2369</v>
      </c>
      <c r="B636" t="s">
        <v>1383</v>
      </c>
      <c r="C636" t="s">
        <v>2435</v>
      </c>
      <c r="D636" t="s">
        <v>1351</v>
      </c>
      <c r="E636">
        <v>4</v>
      </c>
      <c r="F636">
        <v>1.4</v>
      </c>
      <c r="G636">
        <v>1.4</v>
      </c>
      <c r="H636">
        <f t="shared" si="19"/>
        <v>7.84</v>
      </c>
      <c r="I636">
        <f t="shared" si="20"/>
        <v>7.84</v>
      </c>
      <c r="J636">
        <f t="shared" si="20"/>
        <v>7.84</v>
      </c>
    </row>
    <row r="637" spans="1:15">
      <c r="A637" t="s">
        <v>2369</v>
      </c>
      <c r="B637" t="s">
        <v>1383</v>
      </c>
      <c r="C637" t="s">
        <v>2436</v>
      </c>
      <c r="D637" t="s">
        <v>1351</v>
      </c>
      <c r="E637">
        <v>4</v>
      </c>
      <c r="F637">
        <v>1.4</v>
      </c>
      <c r="G637">
        <v>1.4</v>
      </c>
      <c r="H637">
        <f t="shared" si="19"/>
        <v>7.84</v>
      </c>
      <c r="I637">
        <f t="shared" si="20"/>
        <v>7.84</v>
      </c>
      <c r="J637">
        <f t="shared" si="20"/>
        <v>7.84</v>
      </c>
    </row>
    <row r="638" spans="1:15">
      <c r="A638" t="s">
        <v>2369</v>
      </c>
      <c r="B638" t="s">
        <v>1383</v>
      </c>
      <c r="C638" t="s">
        <v>2437</v>
      </c>
      <c r="D638" t="s">
        <v>1351</v>
      </c>
      <c r="E638">
        <v>4</v>
      </c>
      <c r="F638">
        <v>1.4</v>
      </c>
      <c r="G638">
        <v>1.4</v>
      </c>
      <c r="H638">
        <f t="shared" si="19"/>
        <v>7.84</v>
      </c>
      <c r="I638">
        <f t="shared" si="20"/>
        <v>7.84</v>
      </c>
      <c r="J638">
        <f t="shared" si="20"/>
        <v>7.84</v>
      </c>
    </row>
    <row r="639" spans="1:15">
      <c r="A639" t="s">
        <v>2369</v>
      </c>
      <c r="B639" t="s">
        <v>1383</v>
      </c>
      <c r="C639" t="s">
        <v>2438</v>
      </c>
      <c r="D639" t="s">
        <v>1351</v>
      </c>
      <c r="E639">
        <v>4</v>
      </c>
      <c r="F639">
        <v>1.4</v>
      </c>
      <c r="G639">
        <v>1.4</v>
      </c>
      <c r="H639">
        <f t="shared" si="19"/>
        <v>7.84</v>
      </c>
      <c r="I639">
        <f t="shared" si="20"/>
        <v>7.84</v>
      </c>
      <c r="J639">
        <f t="shared" si="20"/>
        <v>7.84</v>
      </c>
    </row>
    <row r="640" spans="1:15">
      <c r="A640" t="s">
        <v>2369</v>
      </c>
      <c r="B640" t="s">
        <v>1383</v>
      </c>
      <c r="C640" t="s">
        <v>2439</v>
      </c>
      <c r="D640" t="s">
        <v>1351</v>
      </c>
      <c r="E640">
        <v>4</v>
      </c>
      <c r="F640">
        <v>1.4</v>
      </c>
      <c r="G640">
        <v>1.4</v>
      </c>
      <c r="H640">
        <f t="shared" si="19"/>
        <v>7.84</v>
      </c>
      <c r="I640">
        <f t="shared" si="20"/>
        <v>7.84</v>
      </c>
      <c r="J640">
        <f t="shared" si="20"/>
        <v>7.84</v>
      </c>
    </row>
    <row r="641" spans="1:12">
      <c r="A641" t="s">
        <v>2369</v>
      </c>
      <c r="B641" s="11" t="s">
        <v>1855</v>
      </c>
      <c r="C641" t="s">
        <v>2372</v>
      </c>
      <c r="D641" t="s">
        <v>1352</v>
      </c>
      <c r="E641">
        <v>2</v>
      </c>
      <c r="F641">
        <v>1.4</v>
      </c>
      <c r="G641">
        <v>1.4</v>
      </c>
      <c r="H641">
        <f t="shared" si="19"/>
        <v>3.92</v>
      </c>
      <c r="I641">
        <f t="shared" si="20"/>
        <v>3.92</v>
      </c>
      <c r="K641">
        <f>I641</f>
        <v>3.92</v>
      </c>
    </row>
    <row r="642" spans="1:12">
      <c r="A642" t="s">
        <v>2369</v>
      </c>
      <c r="B642" s="11" t="s">
        <v>1855</v>
      </c>
      <c r="C642" t="s">
        <v>2374</v>
      </c>
      <c r="D642" t="s">
        <v>1352</v>
      </c>
      <c r="E642">
        <v>2</v>
      </c>
      <c r="F642">
        <v>1.4</v>
      </c>
      <c r="G642">
        <v>1.4</v>
      </c>
      <c r="H642">
        <f t="shared" si="19"/>
        <v>3.92</v>
      </c>
      <c r="I642">
        <f t="shared" si="20"/>
        <v>3.92</v>
      </c>
      <c r="K642">
        <f t="shared" ref="K642:K655" si="21">I642</f>
        <v>3.92</v>
      </c>
    </row>
    <row r="643" spans="1:12">
      <c r="A643" t="s">
        <v>2369</v>
      </c>
      <c r="B643" s="11" t="s">
        <v>1855</v>
      </c>
      <c r="C643" t="s">
        <v>2394</v>
      </c>
      <c r="D643" t="s">
        <v>1353</v>
      </c>
      <c r="E643">
        <v>4</v>
      </c>
      <c r="F643">
        <v>1.4</v>
      </c>
      <c r="G643">
        <v>1.4</v>
      </c>
      <c r="H643">
        <f t="shared" si="19"/>
        <v>7.84</v>
      </c>
      <c r="I643">
        <f t="shared" si="20"/>
        <v>7.84</v>
      </c>
      <c r="K643">
        <f t="shared" si="21"/>
        <v>7.84</v>
      </c>
    </row>
    <row r="644" spans="1:12">
      <c r="A644" t="s">
        <v>2369</v>
      </c>
      <c r="B644" s="11" t="s">
        <v>1855</v>
      </c>
      <c r="C644" t="s">
        <v>2396</v>
      </c>
      <c r="D644" t="s">
        <v>1353</v>
      </c>
      <c r="E644">
        <v>4</v>
      </c>
      <c r="F644">
        <v>1.4</v>
      </c>
      <c r="G644">
        <v>1.4</v>
      </c>
      <c r="H644">
        <f t="shared" si="19"/>
        <v>7.84</v>
      </c>
      <c r="I644">
        <f t="shared" si="20"/>
        <v>7.84</v>
      </c>
      <c r="K644">
        <f t="shared" si="21"/>
        <v>7.84</v>
      </c>
    </row>
    <row r="645" spans="1:12">
      <c r="A645" t="s">
        <v>2369</v>
      </c>
      <c r="B645" s="11" t="s">
        <v>1855</v>
      </c>
      <c r="C645" t="s">
        <v>2398</v>
      </c>
      <c r="D645" t="s">
        <v>1353</v>
      </c>
      <c r="E645">
        <v>4</v>
      </c>
      <c r="F645">
        <v>1.4</v>
      </c>
      <c r="G645">
        <v>1.4</v>
      </c>
      <c r="H645">
        <f t="shared" si="19"/>
        <v>7.84</v>
      </c>
      <c r="I645">
        <f t="shared" si="20"/>
        <v>7.84</v>
      </c>
      <c r="K645">
        <f t="shared" si="21"/>
        <v>7.84</v>
      </c>
    </row>
    <row r="646" spans="1:12">
      <c r="A646" t="s">
        <v>2369</v>
      </c>
      <c r="B646" s="11" t="s">
        <v>1855</v>
      </c>
      <c r="C646" t="s">
        <v>2400</v>
      </c>
      <c r="D646" t="s">
        <v>1353</v>
      </c>
      <c r="E646">
        <v>4</v>
      </c>
      <c r="F646">
        <v>1.4</v>
      </c>
      <c r="G646">
        <v>1.4</v>
      </c>
      <c r="H646">
        <f t="shared" si="19"/>
        <v>7.84</v>
      </c>
      <c r="I646">
        <f t="shared" si="20"/>
        <v>7.84</v>
      </c>
      <c r="K646">
        <f t="shared" si="21"/>
        <v>7.84</v>
      </c>
    </row>
    <row r="647" spans="1:12">
      <c r="A647" t="s">
        <v>2369</v>
      </c>
      <c r="B647" s="11" t="s">
        <v>1855</v>
      </c>
      <c r="C647" t="s">
        <v>2440</v>
      </c>
      <c r="D647" t="s">
        <v>1353</v>
      </c>
      <c r="E647">
        <v>4</v>
      </c>
      <c r="F647">
        <v>1.4</v>
      </c>
      <c r="G647">
        <v>1.4</v>
      </c>
      <c r="H647">
        <f t="shared" si="19"/>
        <v>7.84</v>
      </c>
      <c r="I647">
        <f t="shared" si="20"/>
        <v>7.84</v>
      </c>
      <c r="K647">
        <f t="shared" si="21"/>
        <v>7.84</v>
      </c>
    </row>
    <row r="648" spans="1:12">
      <c r="A648" t="s">
        <v>2369</v>
      </c>
      <c r="B648" s="11" t="s">
        <v>1855</v>
      </c>
      <c r="C648" t="s">
        <v>2440</v>
      </c>
      <c r="D648" t="s">
        <v>2441</v>
      </c>
      <c r="E648">
        <v>1</v>
      </c>
      <c r="F648">
        <v>2.1</v>
      </c>
      <c r="G648">
        <v>0.9</v>
      </c>
      <c r="H648">
        <f t="shared" si="19"/>
        <v>1.89</v>
      </c>
      <c r="I648">
        <f t="shared" si="20"/>
        <v>1.89</v>
      </c>
      <c r="K648">
        <f t="shared" si="21"/>
        <v>1.89</v>
      </c>
    </row>
    <row r="649" spans="1:12">
      <c r="A649" t="s">
        <v>2369</v>
      </c>
      <c r="B649" s="11" t="s">
        <v>1855</v>
      </c>
      <c r="C649" t="s">
        <v>2440</v>
      </c>
      <c r="D649" t="s">
        <v>2442</v>
      </c>
      <c r="E649">
        <v>1</v>
      </c>
      <c r="F649">
        <v>2.7</v>
      </c>
      <c r="G649">
        <v>8</v>
      </c>
      <c r="H649">
        <f t="shared" si="19"/>
        <v>21.6</v>
      </c>
      <c r="I649">
        <f t="shared" si="20"/>
        <v>21.6</v>
      </c>
      <c r="K649">
        <f t="shared" si="21"/>
        <v>21.6</v>
      </c>
    </row>
    <row r="650" spans="1:12">
      <c r="A650" t="s">
        <v>2369</v>
      </c>
      <c r="B650" s="11" t="s">
        <v>1855</v>
      </c>
      <c r="C650" t="s">
        <v>2443</v>
      </c>
      <c r="D650" t="s">
        <v>1353</v>
      </c>
      <c r="E650">
        <v>2</v>
      </c>
      <c r="F650">
        <v>1.4</v>
      </c>
      <c r="G650">
        <v>1.4</v>
      </c>
      <c r="H650">
        <f t="shared" si="19"/>
        <v>3.92</v>
      </c>
      <c r="I650">
        <f t="shared" si="20"/>
        <v>3.92</v>
      </c>
      <c r="K650">
        <f t="shared" si="21"/>
        <v>3.92</v>
      </c>
    </row>
    <row r="651" spans="1:12">
      <c r="A651" t="s">
        <v>2369</v>
      </c>
      <c r="B651" s="11" t="s">
        <v>1855</v>
      </c>
      <c r="C651" t="s">
        <v>2444</v>
      </c>
      <c r="D651" t="s">
        <v>1353</v>
      </c>
      <c r="E651">
        <v>2</v>
      </c>
      <c r="F651">
        <v>1.4</v>
      </c>
      <c r="G651">
        <v>1.4</v>
      </c>
      <c r="H651">
        <f t="shared" si="19"/>
        <v>3.92</v>
      </c>
      <c r="I651">
        <f t="shared" si="20"/>
        <v>3.92</v>
      </c>
      <c r="K651">
        <f t="shared" si="21"/>
        <v>3.92</v>
      </c>
    </row>
    <row r="652" spans="1:12">
      <c r="A652" t="s">
        <v>2369</v>
      </c>
      <c r="B652" s="11" t="s">
        <v>1855</v>
      </c>
      <c r="C652" t="s">
        <v>2445</v>
      </c>
      <c r="D652" t="s">
        <v>1353</v>
      </c>
      <c r="E652">
        <v>2</v>
      </c>
      <c r="F652">
        <v>1.4</v>
      </c>
      <c r="G652">
        <v>1.4</v>
      </c>
      <c r="H652">
        <f t="shared" si="19"/>
        <v>3.92</v>
      </c>
      <c r="I652">
        <f t="shared" si="20"/>
        <v>3.92</v>
      </c>
      <c r="K652">
        <f t="shared" si="21"/>
        <v>3.92</v>
      </c>
    </row>
    <row r="653" spans="1:12">
      <c r="A653" t="s">
        <v>2369</v>
      </c>
      <c r="B653" s="11" t="s">
        <v>1855</v>
      </c>
      <c r="C653" t="s">
        <v>2446</v>
      </c>
      <c r="D653" t="s">
        <v>1353</v>
      </c>
      <c r="E653">
        <v>2</v>
      </c>
      <c r="F653">
        <v>1.4</v>
      </c>
      <c r="G653">
        <v>1.4</v>
      </c>
      <c r="H653">
        <f t="shared" si="19"/>
        <v>3.92</v>
      </c>
      <c r="I653">
        <f t="shared" si="20"/>
        <v>3.92</v>
      </c>
      <c r="K653">
        <f t="shared" si="21"/>
        <v>3.92</v>
      </c>
    </row>
    <row r="654" spans="1:12">
      <c r="A654" t="s">
        <v>2369</v>
      </c>
      <c r="B654" s="11" t="s">
        <v>1855</v>
      </c>
      <c r="C654" t="s">
        <v>2447</v>
      </c>
      <c r="D654" t="s">
        <v>1353</v>
      </c>
      <c r="E654">
        <v>3</v>
      </c>
      <c r="F654">
        <v>1.4</v>
      </c>
      <c r="G654">
        <v>1.4</v>
      </c>
      <c r="H654">
        <f t="shared" si="19"/>
        <v>5.88</v>
      </c>
      <c r="I654">
        <f t="shared" si="20"/>
        <v>5.88</v>
      </c>
      <c r="K654">
        <f t="shared" si="21"/>
        <v>5.88</v>
      </c>
    </row>
    <row r="655" spans="1:12">
      <c r="A655" t="s">
        <v>2369</v>
      </c>
      <c r="B655" s="11" t="s">
        <v>1855</v>
      </c>
      <c r="C655" t="s">
        <v>2448</v>
      </c>
      <c r="D655" t="s">
        <v>1353</v>
      </c>
      <c r="E655">
        <v>1</v>
      </c>
      <c r="F655">
        <v>1.4</v>
      </c>
      <c r="G655">
        <v>1.4</v>
      </c>
      <c r="H655">
        <f t="shared" si="19"/>
        <v>1.96</v>
      </c>
      <c r="I655">
        <f t="shared" si="20"/>
        <v>1.96</v>
      </c>
      <c r="K655">
        <f t="shared" si="21"/>
        <v>1.96</v>
      </c>
    </row>
    <row r="656" spans="1:12">
      <c r="B656" s="440" t="s">
        <v>563</v>
      </c>
      <c r="C656" s="439"/>
      <c r="D656" s="439"/>
      <c r="E656" s="439"/>
      <c r="F656" s="439"/>
      <c r="G656" s="439"/>
      <c r="H656" s="439"/>
      <c r="I656" s="439">
        <f>TRUNC(SUM(I631:I655),2)</f>
        <v>162.53</v>
      </c>
      <c r="J656" s="439">
        <f>TRUNC(SUM(J631:J655),2)</f>
        <v>68.48</v>
      </c>
      <c r="K656" s="439">
        <f t="shared" ref="K656:L656" si="22">TRUNC(SUM(K631:K655),2)</f>
        <v>94.05</v>
      </c>
      <c r="L656" s="439">
        <f t="shared" si="22"/>
        <v>0</v>
      </c>
    </row>
    <row r="658" spans="1:13" ht="78.75">
      <c r="A658" s="441" t="s">
        <v>2450</v>
      </c>
      <c r="B658" s="441" t="s">
        <v>2428</v>
      </c>
      <c r="C658" s="441" t="s">
        <v>2429</v>
      </c>
      <c r="D658" s="441" t="s">
        <v>2430</v>
      </c>
      <c r="E658" s="441" t="s">
        <v>2059</v>
      </c>
      <c r="F658" s="441" t="s">
        <v>2094</v>
      </c>
      <c r="G658" s="441" t="s">
        <v>2095</v>
      </c>
      <c r="H658" s="441" t="s">
        <v>2431</v>
      </c>
      <c r="I658" s="442" t="s">
        <v>2068</v>
      </c>
      <c r="J658" s="442" t="s">
        <v>2057</v>
      </c>
      <c r="K658" s="442" t="s">
        <v>2056</v>
      </c>
      <c r="L658" s="442" t="s">
        <v>2067</v>
      </c>
    </row>
    <row r="659" spans="1:13">
      <c r="A659" t="s">
        <v>2450</v>
      </c>
      <c r="B659" t="s">
        <v>1383</v>
      </c>
      <c r="C659" t="s">
        <v>249</v>
      </c>
      <c r="D659" t="s">
        <v>1351</v>
      </c>
      <c r="E659">
        <v>1</v>
      </c>
      <c r="F659">
        <v>1.3</v>
      </c>
      <c r="G659">
        <v>1.5</v>
      </c>
      <c r="H659">
        <f t="shared" ref="H659:H664" si="23">TRUNC(E659*F659*G659,2)</f>
        <v>1.95</v>
      </c>
      <c r="I659">
        <f>H659*2</f>
        <v>3.9</v>
      </c>
    </row>
    <row r="660" spans="1:13">
      <c r="A660" t="s">
        <v>2450</v>
      </c>
      <c r="B660" t="s">
        <v>1383</v>
      </c>
      <c r="C660" t="s">
        <v>392</v>
      </c>
      <c r="D660" t="s">
        <v>1351</v>
      </c>
      <c r="E660">
        <v>1</v>
      </c>
      <c r="F660">
        <v>1.3</v>
      </c>
      <c r="G660">
        <v>1.5</v>
      </c>
      <c r="H660">
        <f t="shared" si="23"/>
        <v>1.95</v>
      </c>
      <c r="I660">
        <f>H660*2</f>
        <v>3.9</v>
      </c>
    </row>
    <row r="661" spans="1:13">
      <c r="A661" t="s">
        <v>2450</v>
      </c>
      <c r="B661" t="s">
        <v>1383</v>
      </c>
      <c r="C661" t="s">
        <v>245</v>
      </c>
      <c r="D661" t="s">
        <v>1352</v>
      </c>
      <c r="E661">
        <v>1</v>
      </c>
      <c r="F661">
        <v>0.5</v>
      </c>
      <c r="G661">
        <v>1.5</v>
      </c>
      <c r="H661">
        <f t="shared" si="23"/>
        <v>0.75</v>
      </c>
      <c r="I661">
        <f t="shared" ref="I661" si="24">H661</f>
        <v>0.75</v>
      </c>
      <c r="J661">
        <f t="shared" ref="J661:J662" si="25">I661</f>
        <v>0.75</v>
      </c>
    </row>
    <row r="662" spans="1:13">
      <c r="A662" t="s">
        <v>2450</v>
      </c>
      <c r="B662" t="s">
        <v>1383</v>
      </c>
      <c r="C662" t="s">
        <v>2454</v>
      </c>
      <c r="D662" t="s">
        <v>1352</v>
      </c>
      <c r="E662">
        <v>1</v>
      </c>
      <c r="F662">
        <v>0.5</v>
      </c>
      <c r="G662">
        <v>1.5</v>
      </c>
      <c r="H662">
        <f t="shared" si="23"/>
        <v>0.75</v>
      </c>
      <c r="I662">
        <f t="shared" ref="I662" si="26">H662</f>
        <v>0.75</v>
      </c>
      <c r="J662">
        <f t="shared" si="25"/>
        <v>0.75</v>
      </c>
    </row>
    <row r="663" spans="1:13">
      <c r="A663" t="s">
        <v>2450</v>
      </c>
      <c r="B663" t="s">
        <v>1383</v>
      </c>
      <c r="C663" t="s">
        <v>2460</v>
      </c>
      <c r="D663" t="s">
        <v>1353</v>
      </c>
      <c r="E663">
        <v>1</v>
      </c>
      <c r="F663">
        <v>1.37</v>
      </c>
      <c r="G663">
        <v>2</v>
      </c>
      <c r="H663">
        <f t="shared" si="23"/>
        <v>2.74</v>
      </c>
      <c r="I663">
        <f>H663*2</f>
        <v>5.48</v>
      </c>
    </row>
    <row r="664" spans="1:13">
      <c r="A664" t="s">
        <v>2450</v>
      </c>
      <c r="B664" t="s">
        <v>1383</v>
      </c>
      <c r="C664" t="s">
        <v>2463</v>
      </c>
      <c r="D664" t="s">
        <v>2183</v>
      </c>
      <c r="E664">
        <v>3</v>
      </c>
      <c r="F664">
        <v>2.2000000000000002</v>
      </c>
      <c r="G664">
        <v>2</v>
      </c>
      <c r="H664">
        <f t="shared" si="23"/>
        <v>13.2</v>
      </c>
      <c r="I664">
        <f>H664*2</f>
        <v>26.4</v>
      </c>
    </row>
    <row r="665" spans="1:13">
      <c r="B665" s="440" t="s">
        <v>563</v>
      </c>
      <c r="C665" s="439"/>
      <c r="D665" s="439"/>
      <c r="E665" s="439"/>
      <c r="F665" s="439"/>
      <c r="G665" s="439"/>
      <c r="H665" s="439"/>
      <c r="I665" s="439">
        <f>SUM(I659:I664)</f>
        <v>41.18</v>
      </c>
      <c r="J665" s="439">
        <f>SUM(J659:J663)</f>
        <v>1.5</v>
      </c>
      <c r="K665" s="439">
        <f>SUM(K659:K664)</f>
        <v>0</v>
      </c>
      <c r="L665" s="439">
        <f>SUM(L659:L663)</f>
        <v>0</v>
      </c>
    </row>
    <row r="667" spans="1:13">
      <c r="A667" s="443" t="s">
        <v>2484</v>
      </c>
    </row>
    <row r="668" spans="1:13" s="219" customFormat="1" ht="78.75">
      <c r="A668" s="441" t="s">
        <v>2369</v>
      </c>
      <c r="B668" s="441" t="s">
        <v>2428</v>
      </c>
      <c r="C668" s="441" t="s">
        <v>2429</v>
      </c>
      <c r="D668" s="441" t="s">
        <v>2430</v>
      </c>
      <c r="E668" s="441" t="s">
        <v>2059</v>
      </c>
      <c r="F668" s="441" t="s">
        <v>2094</v>
      </c>
      <c r="G668" s="441" t="s">
        <v>2095</v>
      </c>
      <c r="H668" s="441" t="s">
        <v>2431</v>
      </c>
      <c r="I668" s="442" t="s">
        <v>2068</v>
      </c>
      <c r="J668" s="442" t="s">
        <v>2057</v>
      </c>
      <c r="K668" s="442" t="s">
        <v>2056</v>
      </c>
      <c r="L668" s="442" t="s">
        <v>2067</v>
      </c>
      <c r="M668" s="394"/>
    </row>
    <row r="669" spans="1:13">
      <c r="A669" t="s">
        <v>3</v>
      </c>
      <c r="B669" t="s">
        <v>1383</v>
      </c>
      <c r="C669" t="s">
        <v>2485</v>
      </c>
      <c r="D669" t="s">
        <v>2174</v>
      </c>
      <c r="E669">
        <v>2</v>
      </c>
      <c r="F669">
        <v>2.9</v>
      </c>
      <c r="G669">
        <v>2</v>
      </c>
      <c r="H669">
        <f>TRUNC(E669*F669*G669,2)</f>
        <v>11.6</v>
      </c>
      <c r="I669">
        <f>H669*2</f>
        <v>23.2</v>
      </c>
    </row>
    <row r="670" spans="1:13">
      <c r="A670" t="s">
        <v>3</v>
      </c>
      <c r="B670" t="s">
        <v>1383</v>
      </c>
      <c r="C670" t="s">
        <v>2486</v>
      </c>
      <c r="D670" t="s">
        <v>2198</v>
      </c>
      <c r="E670">
        <v>1</v>
      </c>
      <c r="F670">
        <v>1.22</v>
      </c>
      <c r="G670">
        <v>2.64</v>
      </c>
      <c r="H670">
        <f t="shared" ref="H670:H677" si="27">TRUNC(E670*F670*G670,2)</f>
        <v>3.22</v>
      </c>
      <c r="I670">
        <f t="shared" ref="I670:I673" si="28">H670*2</f>
        <v>6.44</v>
      </c>
    </row>
    <row r="671" spans="1:13">
      <c r="A671" t="s">
        <v>3</v>
      </c>
      <c r="B671" t="s">
        <v>1383</v>
      </c>
      <c r="C671" t="s">
        <v>2486</v>
      </c>
      <c r="D671" t="s">
        <v>2198</v>
      </c>
      <c r="E671">
        <v>1</v>
      </c>
      <c r="F671">
        <v>1.22</v>
      </c>
      <c r="G671">
        <v>3.62</v>
      </c>
      <c r="H671">
        <f t="shared" si="27"/>
        <v>4.41</v>
      </c>
      <c r="I671">
        <f t="shared" si="28"/>
        <v>8.82</v>
      </c>
    </row>
    <row r="672" spans="1:13">
      <c r="A672" t="s">
        <v>3</v>
      </c>
      <c r="B672" t="s">
        <v>1383</v>
      </c>
      <c r="C672" t="s">
        <v>2486</v>
      </c>
      <c r="D672" t="s">
        <v>2197</v>
      </c>
      <c r="E672">
        <v>6</v>
      </c>
      <c r="F672">
        <v>0.92</v>
      </c>
      <c r="G672">
        <v>1.5</v>
      </c>
      <c r="H672">
        <f t="shared" si="27"/>
        <v>8.2799999999999994</v>
      </c>
      <c r="I672">
        <f t="shared" si="28"/>
        <v>16.559999999999999</v>
      </c>
    </row>
    <row r="673" spans="1:12">
      <c r="A673" t="s">
        <v>3</v>
      </c>
      <c r="B673" t="s">
        <v>1383</v>
      </c>
      <c r="C673" t="s">
        <v>2486</v>
      </c>
      <c r="D673" t="s">
        <v>2262</v>
      </c>
      <c r="E673">
        <v>1</v>
      </c>
      <c r="F673">
        <v>1.22</v>
      </c>
      <c r="G673">
        <v>4.95</v>
      </c>
      <c r="H673">
        <f t="shared" si="27"/>
        <v>6.03</v>
      </c>
      <c r="I673">
        <f t="shared" si="28"/>
        <v>12.06</v>
      </c>
    </row>
    <row r="674" spans="1:12">
      <c r="A674" t="s">
        <v>3</v>
      </c>
      <c r="B674" t="s">
        <v>1383</v>
      </c>
      <c r="C674" t="s">
        <v>2487</v>
      </c>
      <c r="D674" t="s">
        <v>1351</v>
      </c>
      <c r="E674">
        <v>8</v>
      </c>
      <c r="F674">
        <v>1.1000000000000001</v>
      </c>
      <c r="G674">
        <v>1.5</v>
      </c>
      <c r="H674">
        <f t="shared" si="27"/>
        <v>13.2</v>
      </c>
      <c r="I674">
        <f t="shared" ref="I674:J674" si="29">H674</f>
        <v>13.2</v>
      </c>
      <c r="J674">
        <f t="shared" si="29"/>
        <v>13.2</v>
      </c>
    </row>
    <row r="675" spans="1:12">
      <c r="A675" t="s">
        <v>3</v>
      </c>
      <c r="B675" t="s">
        <v>1383</v>
      </c>
      <c r="C675" t="s">
        <v>2487</v>
      </c>
      <c r="D675" t="s">
        <v>1352</v>
      </c>
      <c r="E675">
        <v>1</v>
      </c>
      <c r="F675">
        <v>1.1000000000000001</v>
      </c>
      <c r="G675">
        <v>1.5</v>
      </c>
      <c r="H675">
        <f t="shared" si="27"/>
        <v>1.65</v>
      </c>
      <c r="I675">
        <f t="shared" ref="I675:J675" si="30">H675</f>
        <v>1.65</v>
      </c>
      <c r="J675">
        <f t="shared" si="30"/>
        <v>1.65</v>
      </c>
    </row>
    <row r="676" spans="1:12">
      <c r="A676" t="s">
        <v>3</v>
      </c>
      <c r="B676" t="s">
        <v>1383</v>
      </c>
      <c r="C676" t="s">
        <v>2487</v>
      </c>
      <c r="D676" t="s">
        <v>1353</v>
      </c>
      <c r="E676">
        <v>8</v>
      </c>
      <c r="F676">
        <v>0.5</v>
      </c>
      <c r="G676">
        <v>1.5</v>
      </c>
      <c r="H676">
        <f t="shared" si="27"/>
        <v>6</v>
      </c>
      <c r="I676">
        <f t="shared" ref="I676:J676" si="31">H676</f>
        <v>6</v>
      </c>
      <c r="J676">
        <f t="shared" si="31"/>
        <v>6</v>
      </c>
    </row>
    <row r="677" spans="1:12">
      <c r="A677" t="s">
        <v>3</v>
      </c>
      <c r="B677" t="s">
        <v>1383</v>
      </c>
      <c r="C677" t="s">
        <v>2487</v>
      </c>
      <c r="D677" t="s">
        <v>1354</v>
      </c>
      <c r="E677">
        <v>13</v>
      </c>
      <c r="F677">
        <v>1.6</v>
      </c>
      <c r="G677">
        <v>1.5</v>
      </c>
      <c r="H677">
        <f t="shared" si="27"/>
        <v>31.2</v>
      </c>
      <c r="I677">
        <f t="shared" ref="I677:J677" si="32">H677</f>
        <v>31.2</v>
      </c>
      <c r="J677">
        <f t="shared" si="32"/>
        <v>31.2</v>
      </c>
    </row>
    <row r="678" spans="1:12">
      <c r="A678" t="s">
        <v>3</v>
      </c>
      <c r="B678" t="s">
        <v>1383</v>
      </c>
      <c r="C678" t="s">
        <v>2487</v>
      </c>
      <c r="D678" t="s">
        <v>2493</v>
      </c>
      <c r="E678">
        <v>10</v>
      </c>
      <c r="F678">
        <v>0.25</v>
      </c>
      <c r="G678">
        <v>2</v>
      </c>
      <c r="H678">
        <f t="shared" ref="H678" si="33">TRUNC(E678*F678*G678,2)</f>
        <v>5</v>
      </c>
      <c r="K678">
        <f>H678</f>
        <v>5</v>
      </c>
      <c r="L678">
        <f>H678</f>
        <v>5</v>
      </c>
    </row>
    <row r="679" spans="1:12">
      <c r="B679" s="440" t="s">
        <v>563</v>
      </c>
      <c r="C679" s="439"/>
      <c r="D679" s="439"/>
      <c r="E679" s="439"/>
      <c r="F679" s="439"/>
      <c r="G679" s="439"/>
      <c r="H679" s="439"/>
      <c r="I679" s="439">
        <f>TRUNC(SUM(I669:I678),2)</f>
        <v>119.13</v>
      </c>
      <c r="J679" s="439">
        <f t="shared" ref="J679:L679" si="34">TRUNC(SUM(J669:J678),2)</f>
        <v>52.05</v>
      </c>
      <c r="K679" s="439">
        <f t="shared" si="34"/>
        <v>5</v>
      </c>
      <c r="L679" s="439">
        <f t="shared" si="34"/>
        <v>5</v>
      </c>
    </row>
  </sheetData>
  <mergeCells count="398">
    <mergeCell ref="K80:M80"/>
    <mergeCell ref="A1:F1"/>
    <mergeCell ref="A2:A11"/>
    <mergeCell ref="A13:F13"/>
    <mergeCell ref="A14:A25"/>
    <mergeCell ref="A28:F28"/>
    <mergeCell ref="A29:A41"/>
    <mergeCell ref="J100:L100"/>
    <mergeCell ref="A45:F45"/>
    <mergeCell ref="C55:D55"/>
    <mergeCell ref="E55:F55"/>
    <mergeCell ref="C56:D56"/>
    <mergeCell ref="E56:F56"/>
    <mergeCell ref="A46:A56"/>
    <mergeCell ref="D92:H92"/>
    <mergeCell ref="D93:G93"/>
    <mergeCell ref="D94:N94"/>
    <mergeCell ref="D99:H99"/>
    <mergeCell ref="J99:M99"/>
    <mergeCell ref="D100:G100"/>
    <mergeCell ref="B101:C102"/>
    <mergeCell ref="J92:M92"/>
    <mergeCell ref="J93:L93"/>
    <mergeCell ref="A59:F59"/>
    <mergeCell ref="A60:A70"/>
    <mergeCell ref="C69:D69"/>
    <mergeCell ref="E69:F69"/>
    <mergeCell ref="C70:D70"/>
    <mergeCell ref="E70:F70"/>
    <mergeCell ref="A77:N77"/>
    <mergeCell ref="C80:H80"/>
    <mergeCell ref="C82:H82"/>
    <mergeCell ref="C84:H84"/>
    <mergeCell ref="C86:H86"/>
    <mergeCell ref="J86:M86"/>
    <mergeCell ref="J84:M84"/>
    <mergeCell ref="J82:M82"/>
    <mergeCell ref="A78:A100"/>
    <mergeCell ref="B78:B88"/>
    <mergeCell ref="C88:N88"/>
    <mergeCell ref="C87:G87"/>
    <mergeCell ref="J87:L87"/>
    <mergeCell ref="B89:C94"/>
    <mergeCell ref="B95:C100"/>
    <mergeCell ref="B122:C123"/>
    <mergeCell ref="D119:N119"/>
    <mergeCell ref="D120:G120"/>
    <mergeCell ref="J120:L120"/>
    <mergeCell ref="B116:C120"/>
    <mergeCell ref="A108:N108"/>
    <mergeCell ref="A109:A120"/>
    <mergeCell ref="C114:G114"/>
    <mergeCell ref="J114:L114"/>
    <mergeCell ref="B109:B114"/>
    <mergeCell ref="B115:N115"/>
    <mergeCell ref="A126:O126"/>
    <mergeCell ref="B127:C132"/>
    <mergeCell ref="B133:O133"/>
    <mergeCell ref="D132:H132"/>
    <mergeCell ref="K132:M132"/>
    <mergeCell ref="B134:C138"/>
    <mergeCell ref="D134:D138"/>
    <mergeCell ref="A127:A138"/>
    <mergeCell ref="E138:H138"/>
    <mergeCell ref="B147:B154"/>
    <mergeCell ref="B155:N155"/>
    <mergeCell ref="D160:N160"/>
    <mergeCell ref="D161:G161"/>
    <mergeCell ref="C140:D141"/>
    <mergeCell ref="K138:M138"/>
    <mergeCell ref="A146:N146"/>
    <mergeCell ref="C156:C161"/>
    <mergeCell ref="A147:A161"/>
    <mergeCell ref="B156:B161"/>
    <mergeCell ref="C147:C150"/>
    <mergeCell ref="C151:C154"/>
    <mergeCell ref="D154:G154"/>
    <mergeCell ref="D153:N153"/>
    <mergeCell ref="J154:L154"/>
    <mergeCell ref="J161:L161"/>
    <mergeCell ref="K185:M185"/>
    <mergeCell ref="E185:H185"/>
    <mergeCell ref="D177:D185"/>
    <mergeCell ref="B177:C185"/>
    <mergeCell ref="B163:C164"/>
    <mergeCell ref="B176:O176"/>
    <mergeCell ref="D170:D175"/>
    <mergeCell ref="A170:A213"/>
    <mergeCell ref="A169:O169"/>
    <mergeCell ref="K175:M175"/>
    <mergeCell ref="E174:O174"/>
    <mergeCell ref="B170:C175"/>
    <mergeCell ref="E175:H175"/>
    <mergeCell ref="B193:O193"/>
    <mergeCell ref="E199:H199"/>
    <mergeCell ref="E198:O198"/>
    <mergeCell ref="B201:C206"/>
    <mergeCell ref="B208:C213"/>
    <mergeCell ref="B194:C199"/>
    <mergeCell ref="B186:O186"/>
    <mergeCell ref="E184:O184"/>
    <mergeCell ref="K192:M192"/>
    <mergeCell ref="D187:D192"/>
    <mergeCell ref="B187:C192"/>
    <mergeCell ref="E191:O191"/>
    <mergeCell ref="D194:D199"/>
    <mergeCell ref="K199:M199"/>
    <mergeCell ref="D201:D206"/>
    <mergeCell ref="D208:D213"/>
    <mergeCell ref="B200:O200"/>
    <mergeCell ref="B207:O207"/>
    <mergeCell ref="E212:O212"/>
    <mergeCell ref="E213:H213"/>
    <mergeCell ref="E205:O205"/>
    <mergeCell ref="E206:H206"/>
    <mergeCell ref="E192:H192"/>
    <mergeCell ref="K206:M206"/>
    <mergeCell ref="K213:M213"/>
    <mergeCell ref="B232:B273"/>
    <mergeCell ref="C267:N267"/>
    <mergeCell ref="C261:C265"/>
    <mergeCell ref="D265:N265"/>
    <mergeCell ref="C266:G266"/>
    <mergeCell ref="J266:L266"/>
    <mergeCell ref="C268:C272"/>
    <mergeCell ref="D272:N272"/>
    <mergeCell ref="C260:N260"/>
    <mergeCell ref="C273:G273"/>
    <mergeCell ref="J273:L273"/>
    <mergeCell ref="C247:C251"/>
    <mergeCell ref="C254:C258"/>
    <mergeCell ref="C246:N246"/>
    <mergeCell ref="C253:N253"/>
    <mergeCell ref="E313:H313"/>
    <mergeCell ref="K313:M313"/>
    <mergeCell ref="D290:D293"/>
    <mergeCell ref="A221:N221"/>
    <mergeCell ref="C238:G238"/>
    <mergeCell ref="J238:L238"/>
    <mergeCell ref="J245:L245"/>
    <mergeCell ref="C245:G245"/>
    <mergeCell ref="C215:D216"/>
    <mergeCell ref="C229:M229"/>
    <mergeCell ref="C230:F230"/>
    <mergeCell ref="I230:K230"/>
    <mergeCell ref="C237:M237"/>
    <mergeCell ref="B222:B230"/>
    <mergeCell ref="B231:M231"/>
    <mergeCell ref="C232:C236"/>
    <mergeCell ref="C240:C244"/>
    <mergeCell ref="C280:M280"/>
    <mergeCell ref="D258:N258"/>
    <mergeCell ref="C259:G259"/>
    <mergeCell ref="J259:L259"/>
    <mergeCell ref="D251:N251"/>
    <mergeCell ref="C252:G252"/>
    <mergeCell ref="J252:L252"/>
    <mergeCell ref="B274:N274"/>
    <mergeCell ref="D335:O335"/>
    <mergeCell ref="E327:H327"/>
    <mergeCell ref="K327:M327"/>
    <mergeCell ref="E320:H320"/>
    <mergeCell ref="A222:A281"/>
    <mergeCell ref="B275:B281"/>
    <mergeCell ref="C239:N239"/>
    <mergeCell ref="D244:N244"/>
    <mergeCell ref="C281:F281"/>
    <mergeCell ref="A289:O289"/>
    <mergeCell ref="E293:H293"/>
    <mergeCell ref="K293:M293"/>
    <mergeCell ref="D294:O294"/>
    <mergeCell ref="D295:D299"/>
    <mergeCell ref="A290:A337"/>
    <mergeCell ref="B336:B337"/>
    <mergeCell ref="B290:C328"/>
    <mergeCell ref="C336:D337"/>
    <mergeCell ref="B329:C335"/>
    <mergeCell ref="D308:D313"/>
    <mergeCell ref="K320:M320"/>
    <mergeCell ref="D322:D327"/>
    <mergeCell ref="D328:O328"/>
    <mergeCell ref="B283:C284"/>
    <mergeCell ref="A342:O342"/>
    <mergeCell ref="A343:A361"/>
    <mergeCell ref="B359:N359"/>
    <mergeCell ref="C343:C351"/>
    <mergeCell ref="C353:C358"/>
    <mergeCell ref="B343:B358"/>
    <mergeCell ref="A366:N366"/>
    <mergeCell ref="J371:L371"/>
    <mergeCell ref="E299:H299"/>
    <mergeCell ref="K299:M299"/>
    <mergeCell ref="E306:H306"/>
    <mergeCell ref="K306:M306"/>
    <mergeCell ref="D300:O300"/>
    <mergeCell ref="D301:D306"/>
    <mergeCell ref="D307:O307"/>
    <mergeCell ref="C370:N370"/>
    <mergeCell ref="C371:G371"/>
    <mergeCell ref="D329:D334"/>
    <mergeCell ref="E334:H334"/>
    <mergeCell ref="K334:M334"/>
    <mergeCell ref="D315:D320"/>
    <mergeCell ref="D321:O321"/>
    <mergeCell ref="D314:O314"/>
    <mergeCell ref="B360:C361"/>
    <mergeCell ref="B377:C378"/>
    <mergeCell ref="A376:N376"/>
    <mergeCell ref="A377:A378"/>
    <mergeCell ref="A367:A375"/>
    <mergeCell ref="D374:N374"/>
    <mergeCell ref="B367:B371"/>
    <mergeCell ref="B372:B375"/>
    <mergeCell ref="C372:C375"/>
    <mergeCell ref="A381:N381"/>
    <mergeCell ref="D375:G375"/>
    <mergeCell ref="J375:L375"/>
    <mergeCell ref="C386:G386"/>
    <mergeCell ref="J386:L386"/>
    <mergeCell ref="B382:B386"/>
    <mergeCell ref="B387:N387"/>
    <mergeCell ref="C385:N385"/>
    <mergeCell ref="A382:A391"/>
    <mergeCell ref="C388:C391"/>
    <mergeCell ref="B393:C394"/>
    <mergeCell ref="A392:N392"/>
    <mergeCell ref="A393:A394"/>
    <mergeCell ref="D390:N390"/>
    <mergeCell ref="D391:G391"/>
    <mergeCell ref="J391:L391"/>
    <mergeCell ref="B388:B391"/>
    <mergeCell ref="A429:A431"/>
    <mergeCell ref="A417:N417"/>
    <mergeCell ref="J422:L422"/>
    <mergeCell ref="J428:L428"/>
    <mergeCell ref="C418:C419"/>
    <mergeCell ref="B418:B422"/>
    <mergeCell ref="A418:A428"/>
    <mergeCell ref="B423:B428"/>
    <mergeCell ref="A398:O398"/>
    <mergeCell ref="D403:H403"/>
    <mergeCell ref="K403:M403"/>
    <mergeCell ref="D405:D409"/>
    <mergeCell ref="D402:O402"/>
    <mergeCell ref="D404:O404"/>
    <mergeCell ref="B399:C404"/>
    <mergeCell ref="A411:B414"/>
    <mergeCell ref="C411:O411"/>
    <mergeCell ref="C414:O414"/>
    <mergeCell ref="E409:O409"/>
    <mergeCell ref="B405:C410"/>
    <mergeCell ref="D410:H410"/>
    <mergeCell ref="A399:A410"/>
    <mergeCell ref="K410:M410"/>
    <mergeCell ref="C412:D413"/>
    <mergeCell ref="E464:H464"/>
    <mergeCell ref="K464:M464"/>
    <mergeCell ref="E471:H471"/>
    <mergeCell ref="K471:M471"/>
    <mergeCell ref="B435:C471"/>
    <mergeCell ref="E456:O456"/>
    <mergeCell ref="E463:O463"/>
    <mergeCell ref="E449:O449"/>
    <mergeCell ref="C421:N421"/>
    <mergeCell ref="C422:G422"/>
    <mergeCell ref="C423:N423"/>
    <mergeCell ref="C427:N427"/>
    <mergeCell ref="C428:G428"/>
    <mergeCell ref="A434:O434"/>
    <mergeCell ref="K442:M442"/>
    <mergeCell ref="D435:D442"/>
    <mergeCell ref="D445:D450"/>
    <mergeCell ref="D443:O444"/>
    <mergeCell ref="E441:O441"/>
    <mergeCell ref="E442:H442"/>
    <mergeCell ref="E450:H450"/>
    <mergeCell ref="K450:M450"/>
    <mergeCell ref="B430:C431"/>
    <mergeCell ref="B429:N429"/>
    <mergeCell ref="A478:N478"/>
    <mergeCell ref="B479:C484"/>
    <mergeCell ref="D483:N483"/>
    <mergeCell ref="D484:G484"/>
    <mergeCell ref="J484:L484"/>
    <mergeCell ref="E457:H457"/>
    <mergeCell ref="K457:M457"/>
    <mergeCell ref="J496:L496"/>
    <mergeCell ref="C497:C502"/>
    <mergeCell ref="D501:N501"/>
    <mergeCell ref="D502:G502"/>
    <mergeCell ref="J502:L502"/>
    <mergeCell ref="C473:D474"/>
    <mergeCell ref="B472:B475"/>
    <mergeCell ref="C472:O472"/>
    <mergeCell ref="C475:O475"/>
    <mergeCell ref="D458:O458"/>
    <mergeCell ref="D466:D471"/>
    <mergeCell ref="A435:A475"/>
    <mergeCell ref="D452:D457"/>
    <mergeCell ref="D451:O451"/>
    <mergeCell ref="D459:D464"/>
    <mergeCell ref="D465:O465"/>
    <mergeCell ref="E470:O470"/>
    <mergeCell ref="C503:C508"/>
    <mergeCell ref="B485:N485"/>
    <mergeCell ref="B486:B522"/>
    <mergeCell ref="C486:C490"/>
    <mergeCell ref="D489:N489"/>
    <mergeCell ref="A479:A530"/>
    <mergeCell ref="D490:G490"/>
    <mergeCell ref="J490:L490"/>
    <mergeCell ref="C491:C496"/>
    <mergeCell ref="D495:N495"/>
    <mergeCell ref="D496:G496"/>
    <mergeCell ref="D507:N507"/>
    <mergeCell ref="D508:G508"/>
    <mergeCell ref="J508:L508"/>
    <mergeCell ref="C509:C515"/>
    <mergeCell ref="D514:N514"/>
    <mergeCell ref="D515:G515"/>
    <mergeCell ref="J515:L515"/>
    <mergeCell ref="B523:B527"/>
    <mergeCell ref="C523:C527"/>
    <mergeCell ref="D526:N526"/>
    <mergeCell ref="D527:G527"/>
    <mergeCell ref="J527:L527"/>
    <mergeCell ref="B528:N528"/>
    <mergeCell ref="F545:O545"/>
    <mergeCell ref="A534:O534"/>
    <mergeCell ref="D535:D542"/>
    <mergeCell ref="E541:O541"/>
    <mergeCell ref="E542:H542"/>
    <mergeCell ref="K542:M542"/>
    <mergeCell ref="C516:C522"/>
    <mergeCell ref="D520:N520"/>
    <mergeCell ref="D521:G521"/>
    <mergeCell ref="J521:L521"/>
    <mergeCell ref="B529:C530"/>
    <mergeCell ref="A535:A590"/>
    <mergeCell ref="D543:O543"/>
    <mergeCell ref="F536:O536"/>
    <mergeCell ref="E578:H578"/>
    <mergeCell ref="K560:M560"/>
    <mergeCell ref="D562:D569"/>
    <mergeCell ref="E568:O568"/>
    <mergeCell ref="E569:H569"/>
    <mergeCell ref="F581:O581"/>
    <mergeCell ref="F572:O572"/>
    <mergeCell ref="E570:O570"/>
    <mergeCell ref="D561:O561"/>
    <mergeCell ref="D552:O552"/>
    <mergeCell ref="C597:D598"/>
    <mergeCell ref="B589:C595"/>
    <mergeCell ref="D589:D594"/>
    <mergeCell ref="E595:H595"/>
    <mergeCell ref="K595:M595"/>
    <mergeCell ref="D588:O588"/>
    <mergeCell ref="B535:C588"/>
    <mergeCell ref="K578:M578"/>
    <mergeCell ref="D580:D587"/>
    <mergeCell ref="E586:O586"/>
    <mergeCell ref="K569:M569"/>
    <mergeCell ref="F554:O554"/>
    <mergeCell ref="D571:D578"/>
    <mergeCell ref="E577:O577"/>
    <mergeCell ref="F563:O563"/>
    <mergeCell ref="D544:D551"/>
    <mergeCell ref="E550:O550"/>
    <mergeCell ref="E551:H551"/>
    <mergeCell ref="E587:H587"/>
    <mergeCell ref="K587:M587"/>
    <mergeCell ref="K551:M551"/>
    <mergeCell ref="D553:D560"/>
    <mergeCell ref="E559:O559"/>
    <mergeCell ref="E560:H560"/>
    <mergeCell ref="B625:C626"/>
    <mergeCell ref="A604:A626"/>
    <mergeCell ref="B624:N624"/>
    <mergeCell ref="D616:N616"/>
    <mergeCell ref="D617:G617"/>
    <mergeCell ref="C618:N618"/>
    <mergeCell ref="C619:C623"/>
    <mergeCell ref="D622:N622"/>
    <mergeCell ref="A603:O603"/>
    <mergeCell ref="C604:C611"/>
    <mergeCell ref="J611:L611"/>
    <mergeCell ref="C613:C617"/>
    <mergeCell ref="B604:B617"/>
    <mergeCell ref="E605:N605"/>
    <mergeCell ref="J617:L617"/>
    <mergeCell ref="D623:G623"/>
    <mergeCell ref="B618:B623"/>
    <mergeCell ref="C612:N612"/>
    <mergeCell ref="D610:N610"/>
    <mergeCell ref="D611:G611"/>
    <mergeCell ref="E614:N614"/>
    <mergeCell ref="E620:N620"/>
    <mergeCell ref="J623:L623"/>
  </mergeCells>
  <phoneticPr fontId="14" type="noConversion"/>
  <pageMargins left="0.511811024" right="0.511811024" top="0.78740157499999996" bottom="0.78740157499999996" header="0.31496062000000002" footer="0.3149606200000000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41DDB-7902-4FB1-B9F9-92416FE2B589}">
  <dimension ref="A1:Q193"/>
  <sheetViews>
    <sheetView zoomScale="70" zoomScaleNormal="70" workbookViewId="0">
      <selection activeCell="I13" sqref="I13"/>
    </sheetView>
  </sheetViews>
  <sheetFormatPr defaultRowHeight="15"/>
  <cols>
    <col min="1" max="1" width="21" customWidth="1"/>
    <col min="2" max="2" width="19.42578125" customWidth="1"/>
    <col min="3" max="3" width="20.28515625" customWidth="1"/>
    <col min="4" max="4" width="22.5703125" customWidth="1"/>
    <col min="5" max="5" width="19.85546875" customWidth="1"/>
    <col min="6" max="6" width="19.140625" customWidth="1"/>
  </cols>
  <sheetData>
    <row r="1" spans="1:6">
      <c r="A1" s="832" t="s">
        <v>2205</v>
      </c>
      <c r="B1" s="832"/>
      <c r="C1" s="832"/>
      <c r="D1" s="832"/>
      <c r="E1" s="832"/>
    </row>
    <row r="2" spans="1:6" ht="51" customHeight="1">
      <c r="A2" s="3"/>
      <c r="B2" s="395" t="s">
        <v>2058</v>
      </c>
      <c r="C2" s="395" t="s">
        <v>2057</v>
      </c>
      <c r="D2" s="395" t="s">
        <v>2056</v>
      </c>
      <c r="E2" s="395" t="s">
        <v>2055</v>
      </c>
      <c r="F2" s="395" t="s">
        <v>2166</v>
      </c>
    </row>
    <row r="3" spans="1:6">
      <c r="A3" s="3" t="s">
        <v>2496</v>
      </c>
      <c r="B3" s="409">
        <f>'CR-ESQ'!K182</f>
        <v>235.69200000000004</v>
      </c>
      <c r="C3" s="409">
        <f>'CR-ESQ'!L182</f>
        <v>0</v>
      </c>
      <c r="D3" s="409">
        <f>'CR-ESQ'!M182</f>
        <v>0</v>
      </c>
      <c r="E3" s="409">
        <f>'CR-ESQ'!N182</f>
        <v>0</v>
      </c>
      <c r="F3" s="409">
        <f>'CR-ESQ'!O182</f>
        <v>0</v>
      </c>
    </row>
    <row r="4" spans="1:6">
      <c r="A4" s="3" t="s">
        <v>2497</v>
      </c>
      <c r="B4" s="391">
        <f>'CR-ESQ'!I78</f>
        <v>522.95000000000005</v>
      </c>
      <c r="C4" s="391">
        <f>'CR-ESQ'!J78</f>
        <v>522.95000000000005</v>
      </c>
      <c r="D4" s="409">
        <f>'CR-ESQ'!K78</f>
        <v>0</v>
      </c>
      <c r="E4" s="409">
        <f>'CR-ESQ'!L78</f>
        <v>0</v>
      </c>
      <c r="F4" s="409">
        <f>'CR-ESQ'!M78</f>
        <v>0</v>
      </c>
    </row>
    <row r="5" spans="1:6">
      <c r="A5" t="s">
        <v>563</v>
      </c>
      <c r="B5" s="415">
        <f>TRUNC(SUM(B3:B4),2)</f>
        <v>758.64</v>
      </c>
      <c r="C5" s="415">
        <f t="shared" ref="C5:F5" si="0">TRUNC(SUM(C3:C4),2)</f>
        <v>522.95000000000005</v>
      </c>
      <c r="D5" s="415">
        <f t="shared" si="0"/>
        <v>0</v>
      </c>
      <c r="E5" s="415">
        <f t="shared" si="0"/>
        <v>0</v>
      </c>
      <c r="F5" s="415">
        <f t="shared" si="0"/>
        <v>0</v>
      </c>
    </row>
    <row r="8" spans="1:6">
      <c r="A8" s="411" t="s">
        <v>2494</v>
      </c>
      <c r="B8" s="410"/>
      <c r="C8" s="410"/>
    </row>
    <row r="9" spans="1:6" ht="47.25">
      <c r="A9" s="3"/>
      <c r="B9" s="395" t="s">
        <v>2058</v>
      </c>
      <c r="C9" s="395" t="s">
        <v>2057</v>
      </c>
      <c r="D9" s="395" t="s">
        <v>2056</v>
      </c>
      <c r="E9" s="395" t="s">
        <v>2055</v>
      </c>
      <c r="F9" s="395" t="s">
        <v>2166</v>
      </c>
    </row>
    <row r="10" spans="1:6">
      <c r="A10" s="3" t="s">
        <v>2496</v>
      </c>
      <c r="B10" s="409">
        <f>'CR-ESQ'!K182</f>
        <v>235.69200000000004</v>
      </c>
      <c r="C10" s="409">
        <f>'CR-ESQ'!L182</f>
        <v>0</v>
      </c>
      <c r="D10" s="409">
        <f>'CR-ESQ'!M182</f>
        <v>0</v>
      </c>
      <c r="E10" s="409">
        <f>'CR-ESQ'!N182</f>
        <v>0</v>
      </c>
      <c r="F10" s="409">
        <f>'CR-ESQ'!O182</f>
        <v>0</v>
      </c>
    </row>
    <row r="11" spans="1:6">
      <c r="A11" s="3" t="s">
        <v>2497</v>
      </c>
      <c r="B11" s="391">
        <f>'CR-ESQ'!I78</f>
        <v>522.95000000000005</v>
      </c>
      <c r="C11" s="391">
        <f>'CR-ESQ'!J78</f>
        <v>522.95000000000005</v>
      </c>
      <c r="D11" s="391">
        <f>'CR-ESQ'!K78</f>
        <v>0</v>
      </c>
      <c r="E11" s="391">
        <f>'CR-ESQ'!L78</f>
        <v>0</v>
      </c>
      <c r="F11" s="391">
        <f>'CR-ESQ'!M78</f>
        <v>0</v>
      </c>
    </row>
    <row r="12" spans="1:6">
      <c r="A12" s="3" t="s">
        <v>2498</v>
      </c>
      <c r="B12" s="391">
        <f>I85</f>
        <v>37.200000000000003</v>
      </c>
      <c r="C12" s="391">
        <f>J85</f>
        <v>37.200000000000003</v>
      </c>
      <c r="D12" s="391">
        <f>K85</f>
        <v>0</v>
      </c>
      <c r="E12" s="391">
        <f>L85</f>
        <v>0</v>
      </c>
      <c r="F12" s="391">
        <f>M85</f>
        <v>0</v>
      </c>
    </row>
    <row r="13" spans="1:6">
      <c r="A13" s="3" t="s">
        <v>2499</v>
      </c>
      <c r="B13" s="391">
        <f>K187</f>
        <v>54.96</v>
      </c>
      <c r="C13" s="391">
        <f>L187</f>
        <v>0</v>
      </c>
      <c r="D13" s="391">
        <f>M187</f>
        <v>0</v>
      </c>
      <c r="E13" s="391">
        <f>N187</f>
        <v>0</v>
      </c>
      <c r="F13" s="391">
        <f>O187</f>
        <v>0</v>
      </c>
    </row>
    <row r="14" spans="1:6">
      <c r="A14" t="s">
        <v>563</v>
      </c>
      <c r="B14" s="415">
        <f>TRUNC(SUM(B10:B13),2)</f>
        <v>850.8</v>
      </c>
      <c r="C14" s="415">
        <f t="shared" ref="C14:F14" si="1">TRUNC(SUM(C10:C13),2)</f>
        <v>560.15</v>
      </c>
      <c r="D14" s="415">
        <f t="shared" si="1"/>
        <v>0</v>
      </c>
      <c r="E14" s="415">
        <f t="shared" si="1"/>
        <v>0</v>
      </c>
      <c r="F14" s="415">
        <f t="shared" si="1"/>
        <v>0</v>
      </c>
    </row>
    <row r="16" spans="1:6">
      <c r="A16" s="454" t="s">
        <v>2495</v>
      </c>
      <c r="B16" s="69"/>
      <c r="C16" s="69"/>
    </row>
    <row r="17" spans="1:14" ht="47.25">
      <c r="A17" s="3"/>
      <c r="B17" s="395" t="s">
        <v>2058</v>
      </c>
      <c r="C17" s="395" t="s">
        <v>2057</v>
      </c>
      <c r="D17" s="395" t="s">
        <v>2056</v>
      </c>
      <c r="E17" s="395" t="s">
        <v>2055</v>
      </c>
      <c r="F17" s="395" t="s">
        <v>2166</v>
      </c>
    </row>
    <row r="18" spans="1:14">
      <c r="A18" s="3" t="s">
        <v>2496</v>
      </c>
      <c r="B18" s="409">
        <f>'CR-ESQ'!K182</f>
        <v>235.69200000000004</v>
      </c>
      <c r="C18" s="409">
        <f>'CR-ESQ'!L182</f>
        <v>0</v>
      </c>
      <c r="D18" s="409">
        <f>'CR-ESQ'!M182</f>
        <v>0</v>
      </c>
      <c r="E18" s="409">
        <f>'CR-ESQ'!N182</f>
        <v>0</v>
      </c>
      <c r="F18" s="409">
        <f>'CR-ESQ'!O182</f>
        <v>0</v>
      </c>
    </row>
    <row r="19" spans="1:14">
      <c r="A19" s="3" t="s">
        <v>2497</v>
      </c>
      <c r="B19" s="391">
        <f>'CR-ESQ'!I78</f>
        <v>522.95000000000005</v>
      </c>
      <c r="C19" s="391">
        <f>'CR-ESQ'!J78</f>
        <v>522.95000000000005</v>
      </c>
      <c r="D19" s="391">
        <f>'CR-ESQ'!K78</f>
        <v>0</v>
      </c>
      <c r="E19" s="391">
        <f>'CR-ESQ'!L78</f>
        <v>0</v>
      </c>
      <c r="F19" s="391">
        <f>'CR-ESQ'!M78</f>
        <v>0</v>
      </c>
    </row>
    <row r="20" spans="1:14">
      <c r="A20" s="3" t="s">
        <v>2498</v>
      </c>
      <c r="B20" s="391">
        <f>I85</f>
        <v>37.200000000000003</v>
      </c>
      <c r="C20" s="391">
        <f>J85</f>
        <v>37.200000000000003</v>
      </c>
      <c r="D20" s="391">
        <f>K85</f>
        <v>0</v>
      </c>
      <c r="E20" s="391">
        <f>L85</f>
        <v>0</v>
      </c>
      <c r="F20" s="391">
        <f>M85</f>
        <v>0</v>
      </c>
    </row>
    <row r="21" spans="1:14">
      <c r="A21" s="3" t="s">
        <v>2499</v>
      </c>
      <c r="B21" s="391">
        <f>K187</f>
        <v>54.96</v>
      </c>
      <c r="C21" s="391">
        <f>L187</f>
        <v>0</v>
      </c>
      <c r="D21" s="391">
        <f>M187</f>
        <v>0</v>
      </c>
      <c r="E21" s="391">
        <f>N187</f>
        <v>0</v>
      </c>
      <c r="F21" s="391">
        <f>O187</f>
        <v>0</v>
      </c>
    </row>
    <row r="22" spans="1:14">
      <c r="A22" s="3" t="s">
        <v>2501</v>
      </c>
      <c r="B22" s="391">
        <f>I126</f>
        <v>210.66</v>
      </c>
      <c r="C22" s="391">
        <f t="shared" ref="C22:F22" si="2">J126</f>
        <v>112.4</v>
      </c>
      <c r="D22" s="391">
        <f t="shared" si="2"/>
        <v>0</v>
      </c>
      <c r="E22" s="391">
        <f t="shared" si="2"/>
        <v>0</v>
      </c>
      <c r="F22" s="391">
        <f t="shared" si="2"/>
        <v>26.56</v>
      </c>
    </row>
    <row r="23" spans="1:14">
      <c r="A23" s="3" t="s">
        <v>2500</v>
      </c>
      <c r="B23" s="391">
        <f>K191</f>
        <v>4.2</v>
      </c>
      <c r="C23" s="391">
        <f t="shared" ref="C23:F23" si="3">L191</f>
        <v>4.2</v>
      </c>
      <c r="D23" s="391">
        <f t="shared" si="3"/>
        <v>0</v>
      </c>
      <c r="E23" s="391">
        <f t="shared" si="3"/>
        <v>0</v>
      </c>
      <c r="F23" s="391">
        <f t="shared" si="3"/>
        <v>0</v>
      </c>
    </row>
    <row r="24" spans="1:14">
      <c r="A24" t="s">
        <v>563</v>
      </c>
      <c r="B24" s="415">
        <f>TRUNC(SUM(B18:B23),2)</f>
        <v>1065.6600000000001</v>
      </c>
      <c r="C24" s="415">
        <f t="shared" ref="C24:F24" si="4">TRUNC(SUM(C18:C23),2)</f>
        <v>676.75</v>
      </c>
      <c r="D24" s="415">
        <f t="shared" si="4"/>
        <v>0</v>
      </c>
      <c r="E24" s="415">
        <f t="shared" si="4"/>
        <v>0</v>
      </c>
      <c r="F24" s="415">
        <f t="shared" si="4"/>
        <v>26.56</v>
      </c>
    </row>
    <row r="28" spans="1:14" ht="41.25" customHeight="1">
      <c r="A28" s="829" t="s">
        <v>2202</v>
      </c>
      <c r="B28" s="829"/>
      <c r="C28" s="829"/>
      <c r="D28" s="829"/>
      <c r="E28" s="829"/>
      <c r="F28" s="829"/>
      <c r="G28" s="829"/>
      <c r="H28" s="829"/>
      <c r="I28" s="829"/>
      <c r="J28" s="829"/>
      <c r="K28" s="829"/>
      <c r="L28" s="829"/>
      <c r="M28" s="829"/>
      <c r="N28" s="829"/>
    </row>
    <row r="29" spans="1:14" ht="78.75">
      <c r="A29" s="818" t="s">
        <v>2191</v>
      </c>
      <c r="B29" s="818"/>
      <c r="C29" s="393" t="s">
        <v>100</v>
      </c>
      <c r="D29" s="393" t="s">
        <v>2062</v>
      </c>
      <c r="E29" s="393" t="s">
        <v>2061</v>
      </c>
      <c r="F29" s="393" t="s">
        <v>2060</v>
      </c>
      <c r="G29" s="393" t="s">
        <v>2059</v>
      </c>
      <c r="H29" s="393" t="s">
        <v>2054</v>
      </c>
      <c r="I29" s="394" t="s">
        <v>2058</v>
      </c>
      <c r="J29" s="394" t="s">
        <v>2057</v>
      </c>
      <c r="K29" s="394" t="s">
        <v>2056</v>
      </c>
      <c r="L29" s="394" t="s">
        <v>2055</v>
      </c>
      <c r="M29" s="394" t="s">
        <v>2055</v>
      </c>
      <c r="N29" s="394" t="s">
        <v>2054</v>
      </c>
    </row>
    <row r="30" spans="1:14" ht="15.75">
      <c r="A30" s="818"/>
      <c r="B30" s="818"/>
      <c r="C30" s="402" t="s">
        <v>1351</v>
      </c>
      <c r="D30" s="402">
        <v>1</v>
      </c>
      <c r="E30" s="402">
        <v>0.6</v>
      </c>
      <c r="F30" s="402">
        <f>D30*E30</f>
        <v>0.6</v>
      </c>
      <c r="G30" s="402">
        <v>4</v>
      </c>
      <c r="H30" s="402">
        <f>F30*G30</f>
        <v>2.4</v>
      </c>
      <c r="I30" s="402">
        <f>H30</f>
        <v>2.4</v>
      </c>
      <c r="J30" s="402">
        <f>H30</f>
        <v>2.4</v>
      </c>
      <c r="K30" s="402" t="s">
        <v>100</v>
      </c>
      <c r="L30" s="402" t="s">
        <v>100</v>
      </c>
      <c r="M30" s="402" t="s">
        <v>100</v>
      </c>
      <c r="N30" s="402">
        <f>I30+J30</f>
        <v>4.8</v>
      </c>
    </row>
    <row r="31" spans="1:14" ht="15.75">
      <c r="A31" s="818"/>
      <c r="B31" s="818"/>
      <c r="C31" s="402" t="s">
        <v>1352</v>
      </c>
      <c r="D31" s="402">
        <v>1</v>
      </c>
      <c r="E31" s="402">
        <v>1.4</v>
      </c>
      <c r="F31" s="402">
        <f>D31*E31</f>
        <v>1.4</v>
      </c>
      <c r="G31" s="402">
        <v>11</v>
      </c>
      <c r="H31" s="402">
        <f>F31*G31</f>
        <v>15.399999999999999</v>
      </c>
      <c r="I31" s="402">
        <f>H31</f>
        <v>15.399999999999999</v>
      </c>
      <c r="J31" s="402">
        <f>H31</f>
        <v>15.399999999999999</v>
      </c>
      <c r="K31" s="402" t="s">
        <v>100</v>
      </c>
      <c r="L31" s="402" t="s">
        <v>100</v>
      </c>
      <c r="M31" s="402" t="s">
        <v>100</v>
      </c>
      <c r="N31" s="402">
        <f>I31+J31</f>
        <v>30.799999999999997</v>
      </c>
    </row>
    <row r="32" spans="1:14" ht="15.75">
      <c r="A32" s="818"/>
      <c r="B32" s="818"/>
      <c r="C32" s="402" t="s">
        <v>1353</v>
      </c>
      <c r="D32" s="402">
        <v>3.3</v>
      </c>
      <c r="E32" s="402">
        <v>2.2999999999999998</v>
      </c>
      <c r="F32" s="402">
        <f>D32*E32</f>
        <v>7.589999999999999</v>
      </c>
      <c r="G32" s="402">
        <v>3</v>
      </c>
      <c r="H32" s="402">
        <f>F32*G32</f>
        <v>22.769999999999996</v>
      </c>
      <c r="I32" s="402">
        <f>H32</f>
        <v>22.769999999999996</v>
      </c>
      <c r="J32" s="402">
        <f>H32</f>
        <v>22.769999999999996</v>
      </c>
      <c r="K32" s="402" t="s">
        <v>100</v>
      </c>
      <c r="L32" s="402" t="s">
        <v>100</v>
      </c>
      <c r="M32" s="402" t="s">
        <v>100</v>
      </c>
      <c r="N32" s="402">
        <f>I32+J32</f>
        <v>45.539999999999992</v>
      </c>
    </row>
    <row r="33" spans="1:14" ht="15.75">
      <c r="A33" s="818"/>
      <c r="B33" s="818"/>
      <c r="C33" s="402"/>
      <c r="D33" s="402"/>
      <c r="E33" s="402"/>
      <c r="F33" s="402"/>
      <c r="G33" s="402"/>
      <c r="H33" s="402"/>
      <c r="I33" s="405"/>
      <c r="J33" s="402"/>
      <c r="K33" s="405"/>
      <c r="L33" s="402" t="s">
        <v>100</v>
      </c>
      <c r="M33" s="402" t="s">
        <v>100</v>
      </c>
      <c r="N33" s="402"/>
    </row>
    <row r="34" spans="1:14" ht="15.75">
      <c r="A34" s="818"/>
      <c r="B34" s="818"/>
      <c r="C34" s="402"/>
      <c r="D34" s="402"/>
      <c r="E34" s="402"/>
      <c r="F34" s="402"/>
      <c r="G34" s="402" t="s">
        <v>2091</v>
      </c>
      <c r="H34" s="402"/>
      <c r="I34" s="405"/>
      <c r="J34" s="402"/>
      <c r="K34" s="402" t="s">
        <v>2091</v>
      </c>
      <c r="L34" s="402"/>
      <c r="M34" s="402"/>
      <c r="N34" s="412">
        <f>SUM(N30:N33)</f>
        <v>81.139999999999986</v>
      </c>
    </row>
    <row r="35" spans="1:14" ht="15.75">
      <c r="A35" s="818"/>
      <c r="B35" s="818"/>
      <c r="C35" s="402"/>
      <c r="D35" s="402"/>
      <c r="E35" s="402"/>
      <c r="F35" s="402"/>
      <c r="G35" s="402"/>
      <c r="H35" s="402"/>
      <c r="I35" s="405"/>
      <c r="J35" s="402"/>
      <c r="K35" s="405"/>
      <c r="L35" s="402" t="s">
        <v>100</v>
      </c>
      <c r="M35" s="402" t="s">
        <v>100</v>
      </c>
      <c r="N35" s="402"/>
    </row>
    <row r="36" spans="1:14" ht="78.75">
      <c r="A36" s="818" t="s">
        <v>2189</v>
      </c>
      <c r="B36" s="818"/>
      <c r="C36" s="393" t="s">
        <v>100</v>
      </c>
      <c r="D36" s="393" t="s">
        <v>2062</v>
      </c>
      <c r="E36" s="393" t="s">
        <v>2061</v>
      </c>
      <c r="F36" s="393" t="s">
        <v>2060</v>
      </c>
      <c r="G36" s="393" t="s">
        <v>2059</v>
      </c>
      <c r="H36" s="393" t="s">
        <v>2054</v>
      </c>
      <c r="I36" s="394" t="s">
        <v>2058</v>
      </c>
      <c r="J36" s="394" t="s">
        <v>2057</v>
      </c>
      <c r="K36" s="394" t="s">
        <v>2056</v>
      </c>
      <c r="L36" s="394" t="s">
        <v>2055</v>
      </c>
      <c r="M36" s="394" t="s">
        <v>2055</v>
      </c>
      <c r="N36" s="394" t="s">
        <v>2054</v>
      </c>
    </row>
    <row r="37" spans="1:14" ht="15.75">
      <c r="A37" s="818"/>
      <c r="B37" s="818"/>
      <c r="C37" s="402" t="s">
        <v>1351</v>
      </c>
      <c r="D37" s="402">
        <v>0.8</v>
      </c>
      <c r="E37" s="402">
        <v>1.1000000000000001</v>
      </c>
      <c r="F37" s="402">
        <f>D37*E37</f>
        <v>0.88000000000000012</v>
      </c>
      <c r="G37" s="402">
        <v>4</v>
      </c>
      <c r="H37" s="402">
        <f>F37*G37</f>
        <v>3.5200000000000005</v>
      </c>
      <c r="I37" s="402">
        <f t="shared" ref="I37:J39" si="5">H37</f>
        <v>3.5200000000000005</v>
      </c>
      <c r="J37" s="402">
        <f t="shared" si="5"/>
        <v>3.5200000000000005</v>
      </c>
      <c r="L37" s="402" t="s">
        <v>100</v>
      </c>
      <c r="M37" s="402" t="s">
        <v>100</v>
      </c>
      <c r="N37" s="402">
        <f>I37+J37</f>
        <v>7.0400000000000009</v>
      </c>
    </row>
    <row r="38" spans="1:14" ht="15.75">
      <c r="A38" s="818"/>
      <c r="B38" s="818"/>
      <c r="C38" s="402" t="s">
        <v>1352</v>
      </c>
      <c r="D38" s="402">
        <v>1.5</v>
      </c>
      <c r="E38" s="402">
        <v>0.6</v>
      </c>
      <c r="F38" s="402">
        <f>D38*E38</f>
        <v>0.89999999999999991</v>
      </c>
      <c r="G38" s="402">
        <v>27</v>
      </c>
      <c r="H38" s="402">
        <f>F38*G38</f>
        <v>24.299999999999997</v>
      </c>
      <c r="I38" s="402">
        <f t="shared" si="5"/>
        <v>24.299999999999997</v>
      </c>
      <c r="J38" s="402">
        <f t="shared" si="5"/>
        <v>24.299999999999997</v>
      </c>
      <c r="L38" s="402" t="s">
        <v>100</v>
      </c>
      <c r="M38" s="402" t="s">
        <v>100</v>
      </c>
      <c r="N38" s="402">
        <f>I38+J38</f>
        <v>48.599999999999994</v>
      </c>
    </row>
    <row r="39" spans="1:14" ht="15.75">
      <c r="A39" s="818"/>
      <c r="B39" s="818"/>
      <c r="C39" s="402" t="s">
        <v>1353</v>
      </c>
      <c r="D39" s="402">
        <v>1.4</v>
      </c>
      <c r="E39" s="402">
        <v>1.4</v>
      </c>
      <c r="F39" s="402">
        <f>D39*E39</f>
        <v>1.9599999999999997</v>
      </c>
      <c r="G39" s="402">
        <v>140</v>
      </c>
      <c r="H39" s="402">
        <f>F39*G39</f>
        <v>274.39999999999998</v>
      </c>
      <c r="I39" s="402">
        <f t="shared" si="5"/>
        <v>274.39999999999998</v>
      </c>
      <c r="J39" s="402">
        <f t="shared" si="5"/>
        <v>274.39999999999998</v>
      </c>
      <c r="L39" s="402" t="s">
        <v>100</v>
      </c>
      <c r="M39" s="402" t="s">
        <v>100</v>
      </c>
      <c r="N39" s="402">
        <f>I39+J39</f>
        <v>548.79999999999995</v>
      </c>
    </row>
    <row r="40" spans="1:14" ht="15.75">
      <c r="A40" s="818"/>
      <c r="B40" s="818"/>
      <c r="C40" s="402"/>
      <c r="D40" s="402"/>
      <c r="E40" s="402"/>
      <c r="F40" s="402"/>
      <c r="G40" s="402"/>
      <c r="H40" s="402"/>
      <c r="I40" s="405"/>
      <c r="J40" s="402"/>
      <c r="K40" s="405"/>
      <c r="L40" s="402" t="s">
        <v>100</v>
      </c>
      <c r="M40" s="402" t="s">
        <v>100</v>
      </c>
      <c r="N40" s="402"/>
    </row>
    <row r="41" spans="1:14" ht="15.75">
      <c r="A41" s="818"/>
      <c r="B41" s="818"/>
      <c r="C41" s="402"/>
      <c r="D41" s="402"/>
      <c r="E41" s="402"/>
      <c r="F41" s="402"/>
      <c r="G41" s="402" t="s">
        <v>2091</v>
      </c>
      <c r="H41" s="402"/>
      <c r="I41" s="405"/>
      <c r="J41" s="402"/>
      <c r="K41" s="402" t="s">
        <v>2091</v>
      </c>
      <c r="L41" s="402"/>
      <c r="M41" s="402"/>
      <c r="N41" s="402">
        <f>SUM(N37:N40)</f>
        <v>604.43999999999994</v>
      </c>
    </row>
    <row r="42" spans="1:14" ht="15.75">
      <c r="A42" s="818"/>
      <c r="B42" s="818"/>
      <c r="C42" s="402"/>
      <c r="D42" s="402"/>
      <c r="E42" s="402"/>
      <c r="F42" s="402"/>
      <c r="G42" s="402"/>
      <c r="H42" s="402"/>
      <c r="I42" s="405"/>
      <c r="J42" s="402"/>
      <c r="K42" s="405"/>
      <c r="L42" s="402" t="s">
        <v>100</v>
      </c>
      <c r="M42" s="402" t="s">
        <v>100</v>
      </c>
      <c r="N42" s="402"/>
    </row>
    <row r="43" spans="1:14" ht="78.75">
      <c r="A43" s="818" t="s">
        <v>213</v>
      </c>
      <c r="B43" s="818"/>
      <c r="C43" s="393" t="s">
        <v>100</v>
      </c>
      <c r="D43" s="393" t="s">
        <v>2062</v>
      </c>
      <c r="E43" s="393" t="s">
        <v>2061</v>
      </c>
      <c r="F43" s="393" t="s">
        <v>2060</v>
      </c>
      <c r="G43" s="393" t="s">
        <v>2059</v>
      </c>
      <c r="H43" s="393" t="s">
        <v>2054</v>
      </c>
      <c r="I43" s="394" t="s">
        <v>2058</v>
      </c>
      <c r="J43" s="394" t="s">
        <v>2057</v>
      </c>
      <c r="K43" s="394" t="s">
        <v>2056</v>
      </c>
      <c r="L43" s="394" t="s">
        <v>2055</v>
      </c>
      <c r="M43" s="394" t="s">
        <v>2055</v>
      </c>
      <c r="N43" s="394" t="s">
        <v>2054</v>
      </c>
    </row>
    <row r="44" spans="1:14" ht="15.75">
      <c r="A44" s="818"/>
      <c r="B44" s="818"/>
      <c r="C44" s="402" t="s">
        <v>1351</v>
      </c>
      <c r="D44" s="402">
        <v>0.6</v>
      </c>
      <c r="E44" s="402">
        <v>0.6</v>
      </c>
      <c r="F44" s="402">
        <f>D44*E44</f>
        <v>0.36</v>
      </c>
      <c r="G44" s="402">
        <v>1</v>
      </c>
      <c r="H44" s="402">
        <f>F44*G44</f>
        <v>0.36</v>
      </c>
      <c r="I44" s="402">
        <f>H44</f>
        <v>0.36</v>
      </c>
      <c r="J44" s="402">
        <f>I44</f>
        <v>0.36</v>
      </c>
      <c r="K44" s="402" t="s">
        <v>100</v>
      </c>
      <c r="L44" s="402" t="s">
        <v>100</v>
      </c>
      <c r="M44" s="402" t="s">
        <v>100</v>
      </c>
      <c r="N44" s="402">
        <f>SUM(I44+J44)</f>
        <v>0.72</v>
      </c>
    </row>
    <row r="45" spans="1:14" ht="15.75">
      <c r="A45" s="818"/>
      <c r="B45" s="818"/>
      <c r="C45" s="402" t="s">
        <v>1352</v>
      </c>
      <c r="D45" s="402">
        <v>1.2</v>
      </c>
      <c r="E45" s="402">
        <v>1.2</v>
      </c>
      <c r="F45" s="402">
        <f>D45*E45</f>
        <v>1.44</v>
      </c>
      <c r="G45" s="402">
        <v>3</v>
      </c>
      <c r="H45" s="402">
        <f>F45*G45</f>
        <v>4.32</v>
      </c>
      <c r="I45" s="402">
        <f>H45</f>
        <v>4.32</v>
      </c>
      <c r="J45" s="402">
        <f>I45</f>
        <v>4.32</v>
      </c>
      <c r="K45" s="402" t="s">
        <v>100</v>
      </c>
      <c r="L45" s="402" t="s">
        <v>100</v>
      </c>
      <c r="M45" s="402" t="s">
        <v>100</v>
      </c>
      <c r="N45" s="402">
        <f>SUM(I45+J45)</f>
        <v>8.64</v>
      </c>
    </row>
    <row r="46" spans="1:14" ht="15.75">
      <c r="A46" s="818"/>
      <c r="B46" s="818"/>
      <c r="C46" s="405"/>
      <c r="D46" s="402"/>
      <c r="E46" s="402"/>
      <c r="F46" s="402"/>
      <c r="G46" s="402"/>
      <c r="H46" s="402"/>
      <c r="I46" s="405"/>
      <c r="J46" s="402"/>
      <c r="K46" s="405"/>
      <c r="L46" s="402" t="s">
        <v>100</v>
      </c>
      <c r="M46" s="402" t="s">
        <v>100</v>
      </c>
      <c r="N46" s="402"/>
    </row>
    <row r="47" spans="1:14" ht="15.75">
      <c r="A47" s="818"/>
      <c r="B47" s="818"/>
      <c r="C47" s="405"/>
      <c r="D47" s="402"/>
      <c r="E47" s="402"/>
      <c r="F47" s="402"/>
      <c r="G47" s="402" t="s">
        <v>2091</v>
      </c>
      <c r="H47" s="402"/>
      <c r="I47" s="405"/>
      <c r="J47" s="402"/>
      <c r="K47" s="402" t="s">
        <v>2091</v>
      </c>
      <c r="L47" s="402"/>
      <c r="M47" s="402"/>
      <c r="N47" s="402">
        <f>SUM(N44:N46)</f>
        <v>9.3600000000000012</v>
      </c>
    </row>
    <row r="48" spans="1:14" ht="15.75">
      <c r="A48" s="818"/>
      <c r="B48" s="818"/>
      <c r="C48" s="405"/>
      <c r="D48" s="405"/>
      <c r="E48" s="405"/>
      <c r="F48" s="402"/>
      <c r="G48" s="405"/>
      <c r="H48" s="402"/>
      <c r="I48" s="405"/>
      <c r="J48" s="402"/>
      <c r="K48" s="405"/>
      <c r="L48" s="402" t="s">
        <v>100</v>
      </c>
      <c r="M48" s="402" t="s">
        <v>100</v>
      </c>
      <c r="N48" s="402"/>
    </row>
    <row r="49" spans="1:14" ht="78.75">
      <c r="A49" s="818" t="s">
        <v>1444</v>
      </c>
      <c r="B49" s="818"/>
      <c r="C49" s="393" t="s">
        <v>100</v>
      </c>
      <c r="D49" s="393" t="s">
        <v>2062</v>
      </c>
      <c r="E49" s="393" t="s">
        <v>2061</v>
      </c>
      <c r="F49" s="393" t="s">
        <v>2060</v>
      </c>
      <c r="G49" s="393" t="s">
        <v>2059</v>
      </c>
      <c r="H49" s="393" t="s">
        <v>2054</v>
      </c>
      <c r="I49" s="394" t="s">
        <v>2058</v>
      </c>
      <c r="J49" s="394" t="s">
        <v>2057</v>
      </c>
      <c r="K49" s="394" t="s">
        <v>2056</v>
      </c>
      <c r="L49" s="394" t="s">
        <v>2055</v>
      </c>
      <c r="M49" s="394" t="s">
        <v>2166</v>
      </c>
      <c r="N49" s="394" t="s">
        <v>2054</v>
      </c>
    </row>
    <row r="50" spans="1:14" ht="15.75">
      <c r="A50" s="818"/>
      <c r="B50" s="818"/>
      <c r="C50" s="402" t="s">
        <v>1351</v>
      </c>
      <c r="D50" s="402">
        <v>1</v>
      </c>
      <c r="E50" s="402">
        <v>0.6</v>
      </c>
      <c r="F50" s="402">
        <f>D50*E50</f>
        <v>0.6</v>
      </c>
      <c r="G50" s="402">
        <v>54</v>
      </c>
      <c r="H50" s="402">
        <f>F50*G50</f>
        <v>32.4</v>
      </c>
      <c r="I50" s="402">
        <f t="shared" ref="I50:J52" si="6">H50</f>
        <v>32.4</v>
      </c>
      <c r="J50" s="402">
        <f t="shared" si="6"/>
        <v>32.4</v>
      </c>
      <c r="K50" s="402" t="s">
        <v>100</v>
      </c>
      <c r="L50" s="402" t="s">
        <v>100</v>
      </c>
      <c r="M50" s="402" t="s">
        <v>100</v>
      </c>
      <c r="N50" s="402">
        <f>SUM(I50+J50)</f>
        <v>64.8</v>
      </c>
    </row>
    <row r="51" spans="1:14" ht="15.75">
      <c r="A51" s="818"/>
      <c r="B51" s="818"/>
      <c r="C51" s="402" t="s">
        <v>1352</v>
      </c>
      <c r="D51" s="402">
        <v>2</v>
      </c>
      <c r="E51" s="402">
        <v>0.5</v>
      </c>
      <c r="F51" s="402">
        <f>D51*E51</f>
        <v>1</v>
      </c>
      <c r="G51" s="402">
        <v>2</v>
      </c>
      <c r="H51" s="402">
        <f>F51*G51</f>
        <v>2</v>
      </c>
      <c r="I51" s="402">
        <f t="shared" si="6"/>
        <v>2</v>
      </c>
      <c r="J51" s="402">
        <f t="shared" si="6"/>
        <v>2</v>
      </c>
      <c r="K51" s="402" t="s">
        <v>100</v>
      </c>
      <c r="L51" s="402" t="s">
        <v>100</v>
      </c>
      <c r="M51" s="402" t="s">
        <v>100</v>
      </c>
      <c r="N51" s="402">
        <f>SUM(I51+J51)</f>
        <v>4</v>
      </c>
    </row>
    <row r="52" spans="1:14" ht="15.75">
      <c r="A52" s="818"/>
      <c r="B52" s="818"/>
      <c r="C52" s="402" t="s">
        <v>1353</v>
      </c>
      <c r="D52" s="402">
        <v>1</v>
      </c>
      <c r="E52" s="402">
        <v>1.3</v>
      </c>
      <c r="F52" s="402">
        <f>D52*E52</f>
        <v>1.3</v>
      </c>
      <c r="G52" s="402">
        <v>30</v>
      </c>
      <c r="H52" s="402">
        <f>F52*G52</f>
        <v>39</v>
      </c>
      <c r="I52" s="402">
        <f t="shared" si="6"/>
        <v>39</v>
      </c>
      <c r="J52" s="402">
        <f t="shared" si="6"/>
        <v>39</v>
      </c>
      <c r="K52" s="402" t="s">
        <v>100</v>
      </c>
      <c r="L52" s="402" t="s">
        <v>100</v>
      </c>
      <c r="M52" s="402" t="s">
        <v>100</v>
      </c>
      <c r="N52" s="402">
        <f>SUM(I52+J52)</f>
        <v>78</v>
      </c>
    </row>
    <row r="53" spans="1:14" ht="15.75">
      <c r="A53" s="818"/>
      <c r="B53" s="818"/>
      <c r="C53" s="402"/>
      <c r="D53" s="402"/>
      <c r="E53" s="402"/>
      <c r="F53" s="402"/>
      <c r="G53" s="402"/>
      <c r="H53" s="402"/>
      <c r="I53" s="405"/>
      <c r="J53" s="402"/>
      <c r="K53" s="405"/>
      <c r="L53" s="402"/>
      <c r="M53" s="402"/>
      <c r="N53" s="402"/>
    </row>
    <row r="54" spans="1:14" ht="15.75">
      <c r="A54" s="818"/>
      <c r="B54" s="818"/>
      <c r="C54" s="402"/>
      <c r="D54" s="402"/>
      <c r="E54" s="402"/>
      <c r="F54" s="402"/>
      <c r="G54" s="402" t="s">
        <v>2091</v>
      </c>
      <c r="H54" s="402"/>
      <c r="I54" s="405"/>
      <c r="J54" s="402"/>
      <c r="K54" s="402" t="s">
        <v>2091</v>
      </c>
      <c r="L54" s="402"/>
      <c r="M54" s="402"/>
      <c r="N54" s="402">
        <f>SUM(N50:N53)</f>
        <v>146.80000000000001</v>
      </c>
    </row>
    <row r="55" spans="1:14" ht="15.75">
      <c r="A55" s="818"/>
      <c r="B55" s="818"/>
      <c r="C55" s="402"/>
      <c r="D55" s="402"/>
      <c r="E55" s="402"/>
      <c r="F55" s="402"/>
      <c r="G55" s="402"/>
      <c r="H55" s="402"/>
      <c r="I55" s="405"/>
      <c r="J55" s="402"/>
      <c r="K55" s="405"/>
      <c r="L55" s="402"/>
      <c r="M55" s="402"/>
      <c r="N55" s="402"/>
    </row>
    <row r="56" spans="1:14" ht="78.75">
      <c r="A56" s="818" t="s">
        <v>2180</v>
      </c>
      <c r="B56" s="818"/>
      <c r="C56" s="393" t="s">
        <v>100</v>
      </c>
      <c r="D56" s="393" t="s">
        <v>2062</v>
      </c>
      <c r="E56" s="393" t="s">
        <v>2061</v>
      </c>
      <c r="F56" s="393" t="s">
        <v>2060</v>
      </c>
      <c r="G56" s="393" t="s">
        <v>2059</v>
      </c>
      <c r="H56" s="393" t="s">
        <v>2054</v>
      </c>
      <c r="I56" s="394" t="s">
        <v>2058</v>
      </c>
      <c r="J56" s="394" t="s">
        <v>2057</v>
      </c>
      <c r="K56" s="394" t="s">
        <v>2056</v>
      </c>
      <c r="L56" s="394" t="s">
        <v>2055</v>
      </c>
      <c r="M56" s="394" t="s">
        <v>2166</v>
      </c>
      <c r="N56" s="394" t="s">
        <v>2054</v>
      </c>
    </row>
    <row r="57" spans="1:14" ht="15.75">
      <c r="A57" s="818"/>
      <c r="B57" s="818"/>
      <c r="C57" s="402" t="s">
        <v>1351</v>
      </c>
      <c r="D57" s="402">
        <v>0.6</v>
      </c>
      <c r="E57" s="402">
        <v>0.6</v>
      </c>
      <c r="F57" s="402">
        <f>D57*E57</f>
        <v>0.36</v>
      </c>
      <c r="G57" s="402">
        <v>8</v>
      </c>
      <c r="H57" s="402">
        <f>F57*G57</f>
        <v>2.88</v>
      </c>
      <c r="I57" s="402">
        <f t="shared" ref="I57:J59" si="7">H57</f>
        <v>2.88</v>
      </c>
      <c r="J57" s="402">
        <f t="shared" si="7"/>
        <v>2.88</v>
      </c>
      <c r="K57" s="402" t="s">
        <v>100</v>
      </c>
      <c r="L57" s="402" t="s">
        <v>100</v>
      </c>
      <c r="M57" s="402" t="s">
        <v>100</v>
      </c>
      <c r="N57" s="402">
        <f>SUM(I57+J57)</f>
        <v>5.76</v>
      </c>
    </row>
    <row r="58" spans="1:14" ht="15.75">
      <c r="A58" s="818"/>
      <c r="B58" s="818"/>
      <c r="C58" s="402" t="s">
        <v>1352</v>
      </c>
      <c r="D58" s="402">
        <v>1</v>
      </c>
      <c r="E58" s="402">
        <v>1.4</v>
      </c>
      <c r="F58" s="402">
        <f>D58*E58</f>
        <v>1.4</v>
      </c>
      <c r="G58" s="402">
        <v>7</v>
      </c>
      <c r="H58" s="402">
        <f>F58*G58</f>
        <v>9.7999999999999989</v>
      </c>
      <c r="I58" s="402">
        <f t="shared" si="7"/>
        <v>9.7999999999999989</v>
      </c>
      <c r="J58" s="402">
        <f t="shared" si="7"/>
        <v>9.7999999999999989</v>
      </c>
      <c r="K58" s="402" t="s">
        <v>100</v>
      </c>
      <c r="L58" s="402" t="s">
        <v>100</v>
      </c>
      <c r="M58" s="402" t="s">
        <v>100</v>
      </c>
      <c r="N58" s="402">
        <f>SUM(I58+J58)</f>
        <v>19.599999999999998</v>
      </c>
    </row>
    <row r="59" spans="1:14" ht="15.75">
      <c r="A59" s="818"/>
      <c r="B59" s="818"/>
      <c r="C59" s="402" t="s">
        <v>1353</v>
      </c>
      <c r="D59" s="402">
        <v>2</v>
      </c>
      <c r="E59" s="402">
        <v>1.4</v>
      </c>
      <c r="F59" s="402">
        <f>D59*E59</f>
        <v>2.8</v>
      </c>
      <c r="G59" s="402">
        <v>1</v>
      </c>
      <c r="H59" s="402">
        <f>F59*G59</f>
        <v>2.8</v>
      </c>
      <c r="I59" s="402">
        <f t="shared" si="7"/>
        <v>2.8</v>
      </c>
      <c r="J59" s="402">
        <f t="shared" si="7"/>
        <v>2.8</v>
      </c>
      <c r="K59" s="402" t="s">
        <v>100</v>
      </c>
      <c r="L59" s="402" t="s">
        <v>100</v>
      </c>
      <c r="M59" s="402" t="s">
        <v>100</v>
      </c>
      <c r="N59" s="402">
        <f>SUM(I59+J59)</f>
        <v>5.6</v>
      </c>
    </row>
    <row r="60" spans="1:14" ht="15.75">
      <c r="A60" s="818"/>
      <c r="B60" s="818"/>
      <c r="C60" s="402"/>
      <c r="D60" s="402"/>
      <c r="E60" s="402"/>
      <c r="F60" s="402"/>
      <c r="G60" s="402"/>
      <c r="H60" s="402"/>
      <c r="I60" s="405"/>
      <c r="J60" s="402"/>
      <c r="K60" s="405"/>
      <c r="L60" s="402" t="s">
        <v>100</v>
      </c>
      <c r="M60" s="402" t="s">
        <v>100</v>
      </c>
      <c r="N60" s="402"/>
    </row>
    <row r="61" spans="1:14" ht="15.75">
      <c r="A61" s="818"/>
      <c r="B61" s="818"/>
      <c r="C61" s="402"/>
      <c r="D61" s="402"/>
      <c r="E61" s="402"/>
      <c r="F61" s="402"/>
      <c r="G61" s="402" t="s">
        <v>2091</v>
      </c>
      <c r="H61" s="402"/>
      <c r="I61" s="405"/>
      <c r="J61" s="402"/>
      <c r="K61" s="402" t="s">
        <v>2091</v>
      </c>
      <c r="L61" s="402" t="s">
        <v>100</v>
      </c>
      <c r="M61" s="402" t="s">
        <v>100</v>
      </c>
      <c r="N61" s="402">
        <f>SUM(N57:N60)</f>
        <v>30.96</v>
      </c>
    </row>
    <row r="62" spans="1:14" ht="15.75">
      <c r="A62" s="818"/>
      <c r="B62" s="818"/>
      <c r="C62" s="402"/>
      <c r="D62" s="402"/>
      <c r="E62" s="402"/>
      <c r="F62" s="402"/>
      <c r="G62" s="402"/>
      <c r="H62" s="402"/>
      <c r="I62" s="405"/>
      <c r="J62" s="402"/>
      <c r="K62" s="405"/>
      <c r="L62" s="402" t="s">
        <v>100</v>
      </c>
      <c r="M62" s="402" t="s">
        <v>100</v>
      </c>
      <c r="N62" s="402"/>
    </row>
    <row r="63" spans="1:14" ht="78.75">
      <c r="A63" s="818" t="s">
        <v>2176</v>
      </c>
      <c r="B63" s="818"/>
      <c r="C63" s="393" t="s">
        <v>100</v>
      </c>
      <c r="D63" s="393" t="s">
        <v>2062</v>
      </c>
      <c r="E63" s="393" t="s">
        <v>2061</v>
      </c>
      <c r="F63" s="393" t="s">
        <v>2060</v>
      </c>
      <c r="G63" s="393" t="s">
        <v>2059</v>
      </c>
      <c r="H63" s="393" t="s">
        <v>2054</v>
      </c>
      <c r="I63" s="394" t="s">
        <v>2058</v>
      </c>
      <c r="J63" s="394" t="s">
        <v>2057</v>
      </c>
      <c r="K63" s="394" t="s">
        <v>2056</v>
      </c>
      <c r="L63" s="394" t="s">
        <v>2055</v>
      </c>
      <c r="M63" s="394" t="s">
        <v>2166</v>
      </c>
      <c r="N63" s="394" t="s">
        <v>2054</v>
      </c>
    </row>
    <row r="64" spans="1:14" ht="15.75">
      <c r="A64" s="818"/>
      <c r="B64" s="818"/>
      <c r="C64" s="402" t="s">
        <v>1351</v>
      </c>
      <c r="D64" s="402">
        <v>0.2</v>
      </c>
      <c r="E64" s="402">
        <v>0.5</v>
      </c>
      <c r="F64" s="402">
        <f>D64*E64</f>
        <v>0.1</v>
      </c>
      <c r="G64" s="402">
        <v>1</v>
      </c>
      <c r="H64" s="402">
        <f>F64*G64</f>
        <v>0.1</v>
      </c>
      <c r="I64" s="402">
        <f t="shared" ref="I64:J67" si="8">H64</f>
        <v>0.1</v>
      </c>
      <c r="J64" s="402">
        <f t="shared" si="8"/>
        <v>0.1</v>
      </c>
      <c r="K64" s="402" t="s">
        <v>100</v>
      </c>
      <c r="L64" s="402" t="s">
        <v>100</v>
      </c>
      <c r="M64" s="402" t="s">
        <v>100</v>
      </c>
      <c r="N64" s="402">
        <f>SUM(I64+J64)</f>
        <v>0.2</v>
      </c>
    </row>
    <row r="65" spans="1:14" ht="15.75">
      <c r="A65" s="818"/>
      <c r="B65" s="818"/>
      <c r="C65" s="402" t="s">
        <v>1352</v>
      </c>
      <c r="D65" s="402">
        <v>0.5</v>
      </c>
      <c r="E65" s="402">
        <v>0.5</v>
      </c>
      <c r="F65" s="402">
        <f>D65*E65</f>
        <v>0.25</v>
      </c>
      <c r="G65" s="402">
        <v>6</v>
      </c>
      <c r="H65" s="402">
        <f>F65*G65</f>
        <v>1.5</v>
      </c>
      <c r="I65" s="402">
        <f t="shared" si="8"/>
        <v>1.5</v>
      </c>
      <c r="J65" s="402">
        <f t="shared" si="8"/>
        <v>1.5</v>
      </c>
      <c r="K65" s="402" t="s">
        <v>100</v>
      </c>
      <c r="L65" s="402" t="s">
        <v>100</v>
      </c>
      <c r="M65" s="402" t="s">
        <v>100</v>
      </c>
      <c r="N65" s="402">
        <f>SUM(I65+J65)</f>
        <v>3</v>
      </c>
    </row>
    <row r="66" spans="1:14" ht="15.75">
      <c r="A66" s="818"/>
      <c r="B66" s="818"/>
      <c r="C66" s="402" t="s">
        <v>1353</v>
      </c>
      <c r="D66" s="402">
        <v>1</v>
      </c>
      <c r="E66" s="402">
        <v>1.2</v>
      </c>
      <c r="F66" s="402">
        <f>D66*E66</f>
        <v>1.2</v>
      </c>
      <c r="G66" s="402">
        <v>12</v>
      </c>
      <c r="H66" s="402">
        <f>F66*G66</f>
        <v>14.399999999999999</v>
      </c>
      <c r="I66" s="402">
        <f t="shared" si="8"/>
        <v>14.399999999999999</v>
      </c>
      <c r="J66" s="402">
        <f t="shared" si="8"/>
        <v>14.399999999999999</v>
      </c>
      <c r="K66" s="402" t="s">
        <v>100</v>
      </c>
      <c r="L66" s="402" t="s">
        <v>100</v>
      </c>
      <c r="M66" s="402" t="s">
        <v>100</v>
      </c>
      <c r="N66" s="402">
        <f>SUM(I66+J66)</f>
        <v>28.799999999999997</v>
      </c>
    </row>
    <row r="67" spans="1:14" ht="15.75">
      <c r="A67" s="818"/>
      <c r="B67" s="818"/>
      <c r="C67" s="402" t="s">
        <v>1354</v>
      </c>
      <c r="D67" s="402">
        <v>1</v>
      </c>
      <c r="E67" s="402">
        <v>0.5</v>
      </c>
      <c r="F67" s="402">
        <f>D67*E67</f>
        <v>0.5</v>
      </c>
      <c r="G67" s="402">
        <v>6</v>
      </c>
      <c r="H67" s="402">
        <f>F67*G67</f>
        <v>3</v>
      </c>
      <c r="I67" s="402">
        <f t="shared" si="8"/>
        <v>3</v>
      </c>
      <c r="J67" s="402">
        <f t="shared" si="8"/>
        <v>3</v>
      </c>
      <c r="K67" s="402" t="s">
        <v>100</v>
      </c>
      <c r="L67" s="402" t="s">
        <v>100</v>
      </c>
      <c r="M67" s="402" t="s">
        <v>100</v>
      </c>
      <c r="N67" s="402">
        <f>SUM(I67+J67)</f>
        <v>6</v>
      </c>
    </row>
    <row r="68" spans="1:14" ht="15.75">
      <c r="A68" s="818"/>
      <c r="B68" s="818"/>
      <c r="C68" s="402"/>
      <c r="D68" s="402"/>
      <c r="E68" s="402"/>
      <c r="F68" s="402"/>
      <c r="G68" s="402"/>
      <c r="H68" s="402"/>
      <c r="I68" s="402"/>
      <c r="J68" s="402"/>
      <c r="K68" s="402"/>
      <c r="L68" s="402"/>
      <c r="M68" s="402"/>
      <c r="N68" s="402"/>
    </row>
    <row r="69" spans="1:14" ht="15.75">
      <c r="A69" s="818"/>
      <c r="B69" s="818"/>
      <c r="C69" s="402"/>
      <c r="D69" s="402"/>
      <c r="E69" s="402"/>
      <c r="F69" s="402"/>
      <c r="G69" s="402" t="s">
        <v>2091</v>
      </c>
      <c r="H69" s="402"/>
      <c r="I69" s="405"/>
      <c r="J69" s="402"/>
      <c r="K69" s="413" t="s">
        <v>2091</v>
      </c>
      <c r="L69" s="413"/>
      <c r="M69" s="413"/>
      <c r="N69" s="402">
        <f>SUM(N64:N68)</f>
        <v>38</v>
      </c>
    </row>
    <row r="70" spans="1:14" ht="15.75">
      <c r="A70" s="818"/>
      <c r="B70" s="818"/>
      <c r="C70" s="402"/>
      <c r="D70" s="402"/>
      <c r="E70" s="402"/>
      <c r="F70" s="402"/>
      <c r="G70" s="402"/>
      <c r="H70" s="402"/>
      <c r="I70" s="405"/>
      <c r="J70" s="402"/>
      <c r="K70" s="405"/>
      <c r="L70" s="402"/>
      <c r="M70" s="402"/>
      <c r="N70" s="402"/>
    </row>
    <row r="71" spans="1:14" ht="78.75">
      <c r="A71" s="818" t="s">
        <v>867</v>
      </c>
      <c r="B71" s="818"/>
      <c r="C71" s="393" t="s">
        <v>100</v>
      </c>
      <c r="D71" s="393" t="s">
        <v>2062</v>
      </c>
      <c r="E71" s="393" t="s">
        <v>2061</v>
      </c>
      <c r="F71" s="393" t="s">
        <v>2060</v>
      </c>
      <c r="G71" s="393" t="s">
        <v>2059</v>
      </c>
      <c r="H71" s="393" t="s">
        <v>2054</v>
      </c>
      <c r="I71" s="394" t="s">
        <v>2058</v>
      </c>
      <c r="J71" s="394" t="s">
        <v>2057</v>
      </c>
      <c r="K71" s="394" t="s">
        <v>2056</v>
      </c>
      <c r="L71" s="394" t="s">
        <v>2055</v>
      </c>
      <c r="M71" s="394" t="s">
        <v>2166</v>
      </c>
      <c r="N71" s="394" t="s">
        <v>2054</v>
      </c>
    </row>
    <row r="72" spans="1:14" ht="15.75">
      <c r="A72" s="818"/>
      <c r="B72" s="818"/>
      <c r="C72" s="402" t="s">
        <v>1351</v>
      </c>
      <c r="D72" s="402">
        <v>1</v>
      </c>
      <c r="E72" s="402">
        <v>0.6</v>
      </c>
      <c r="F72" s="402">
        <f>D72*E72</f>
        <v>0.6</v>
      </c>
      <c r="G72" s="402">
        <v>46</v>
      </c>
      <c r="H72" s="402">
        <f>F72*G72</f>
        <v>27.599999999999998</v>
      </c>
      <c r="I72" s="402">
        <f t="shared" ref="I72:J74" si="9">H72</f>
        <v>27.599999999999998</v>
      </c>
      <c r="J72" s="402">
        <f t="shared" si="9"/>
        <v>27.599999999999998</v>
      </c>
      <c r="K72" s="402" t="s">
        <v>100</v>
      </c>
      <c r="L72" s="402" t="s">
        <v>100</v>
      </c>
      <c r="M72" s="402" t="s">
        <v>100</v>
      </c>
      <c r="N72" s="402">
        <f>SUM(K72:L72)</f>
        <v>0</v>
      </c>
    </row>
    <row r="73" spans="1:14" ht="15.75">
      <c r="A73" s="818"/>
      <c r="B73" s="818"/>
      <c r="C73" s="402" t="s">
        <v>1352</v>
      </c>
      <c r="D73" s="402">
        <v>1</v>
      </c>
      <c r="E73" s="402">
        <v>0.5</v>
      </c>
      <c r="F73" s="402">
        <f>D73*E73</f>
        <v>0.5</v>
      </c>
      <c r="G73" s="402">
        <v>2</v>
      </c>
      <c r="H73" s="402">
        <f>F73*G73</f>
        <v>1</v>
      </c>
      <c r="I73" s="402">
        <f t="shared" si="9"/>
        <v>1</v>
      </c>
      <c r="J73" s="402">
        <f t="shared" si="9"/>
        <v>1</v>
      </c>
      <c r="K73" s="402" t="s">
        <v>100</v>
      </c>
      <c r="L73" s="402" t="s">
        <v>100</v>
      </c>
      <c r="M73" s="402" t="s">
        <v>100</v>
      </c>
      <c r="N73" s="402">
        <f>SUM(I73+J73)</f>
        <v>2</v>
      </c>
    </row>
    <row r="74" spans="1:14" ht="15.75">
      <c r="A74" s="818"/>
      <c r="B74" s="818"/>
      <c r="C74" s="402" t="s">
        <v>1353</v>
      </c>
      <c r="D74" s="402">
        <v>1</v>
      </c>
      <c r="E74" s="402">
        <v>1.3</v>
      </c>
      <c r="F74" s="402">
        <f>D74*E74</f>
        <v>1.3</v>
      </c>
      <c r="G74" s="402">
        <v>30</v>
      </c>
      <c r="H74" s="402">
        <f>F74*G74</f>
        <v>39</v>
      </c>
      <c r="I74" s="402">
        <f t="shared" si="9"/>
        <v>39</v>
      </c>
      <c r="J74" s="402">
        <f t="shared" si="9"/>
        <v>39</v>
      </c>
      <c r="K74" s="402" t="s">
        <v>100</v>
      </c>
      <c r="L74" s="402" t="s">
        <v>100</v>
      </c>
      <c r="M74" s="402" t="s">
        <v>100</v>
      </c>
      <c r="N74" s="402">
        <f>SUM(I74+J74)</f>
        <v>78</v>
      </c>
    </row>
    <row r="75" spans="1:14" ht="15.75">
      <c r="A75" s="405"/>
      <c r="B75" s="405"/>
      <c r="C75" s="402"/>
      <c r="D75" s="402"/>
      <c r="E75" s="402"/>
      <c r="F75" s="402"/>
      <c r="G75" s="402"/>
      <c r="H75" s="402"/>
      <c r="I75" s="405"/>
      <c r="J75" s="402"/>
      <c r="K75" s="405"/>
      <c r="L75" s="405"/>
      <c r="M75" s="405"/>
      <c r="N75" s="402"/>
    </row>
    <row r="76" spans="1:14" ht="15.75">
      <c r="A76" s="405"/>
      <c r="B76" s="405"/>
      <c r="C76" s="402"/>
      <c r="D76" s="402"/>
      <c r="E76" s="402"/>
      <c r="F76" s="402"/>
      <c r="G76" s="402" t="s">
        <v>2091</v>
      </c>
      <c r="H76" s="402"/>
      <c r="I76" s="405"/>
      <c r="J76" s="402"/>
      <c r="K76" s="402" t="s">
        <v>2091</v>
      </c>
      <c r="L76" s="405"/>
      <c r="M76" s="405"/>
      <c r="N76" s="402">
        <f>SUM(N72:N75)</f>
        <v>80</v>
      </c>
    </row>
    <row r="77" spans="1:14" ht="78.75">
      <c r="A77" s="810" t="s">
        <v>2063</v>
      </c>
      <c r="B77" s="810"/>
      <c r="C77" s="396" t="s">
        <v>100</v>
      </c>
      <c r="D77" s="396" t="s">
        <v>2062</v>
      </c>
      <c r="E77" s="396" t="s">
        <v>2061</v>
      </c>
      <c r="F77" s="396" t="s">
        <v>2060</v>
      </c>
      <c r="G77" s="396" t="s">
        <v>2059</v>
      </c>
      <c r="H77" s="396" t="s">
        <v>2054</v>
      </c>
      <c r="I77" s="395" t="s">
        <v>2058</v>
      </c>
      <c r="J77" s="395" t="s">
        <v>2057</v>
      </c>
      <c r="K77" s="395" t="s">
        <v>2056</v>
      </c>
      <c r="L77" s="395" t="s">
        <v>2055</v>
      </c>
      <c r="M77" s="395" t="s">
        <v>2166</v>
      </c>
      <c r="N77" s="395"/>
    </row>
    <row r="78" spans="1:14">
      <c r="A78" s="810"/>
      <c r="B78" s="810"/>
      <c r="C78" s="392"/>
      <c r="D78" s="392"/>
      <c r="E78" s="392"/>
      <c r="F78" s="392"/>
      <c r="G78" s="392"/>
      <c r="H78" s="392"/>
      <c r="I78" s="392">
        <f>SUM(I29:I76)</f>
        <v>522.95000000000005</v>
      </c>
      <c r="J78" s="392">
        <f t="shared" ref="J78:M78" si="10">SUM(J29:J76)</f>
        <v>522.95000000000005</v>
      </c>
      <c r="K78" s="392">
        <f t="shared" si="10"/>
        <v>0</v>
      </c>
      <c r="L78" s="392">
        <f t="shared" si="10"/>
        <v>0</v>
      </c>
      <c r="M78" s="392">
        <f t="shared" si="10"/>
        <v>0</v>
      </c>
      <c r="N78" s="409"/>
    </row>
    <row r="79" spans="1:14" ht="15.75">
      <c r="A79" s="405"/>
      <c r="B79" s="405"/>
      <c r="C79" s="402"/>
      <c r="D79" s="402"/>
      <c r="E79" s="402"/>
      <c r="F79" s="402"/>
      <c r="G79" s="402"/>
      <c r="H79" s="402"/>
      <c r="I79" s="405"/>
      <c r="J79" s="402"/>
      <c r="K79" s="402"/>
      <c r="L79" s="405"/>
      <c r="M79" s="405"/>
      <c r="N79" s="402"/>
    </row>
    <row r="80" spans="1:14">
      <c r="A80" s="411" t="s">
        <v>2494</v>
      </c>
      <c r="B80" s="410"/>
      <c r="C80" s="410"/>
      <c r="N80" s="11"/>
    </row>
    <row r="81" spans="1:14" ht="78.75">
      <c r="B81" s="811" t="s">
        <v>108</v>
      </c>
      <c r="C81" s="393" t="s">
        <v>100</v>
      </c>
      <c r="D81" s="393" t="s">
        <v>2062</v>
      </c>
      <c r="E81" s="393" t="s">
        <v>2061</v>
      </c>
      <c r="F81" s="393" t="s">
        <v>2060</v>
      </c>
      <c r="G81" s="393" t="s">
        <v>2059</v>
      </c>
      <c r="H81" s="393" t="s">
        <v>2054</v>
      </c>
      <c r="I81" s="394" t="s">
        <v>2058</v>
      </c>
      <c r="J81" s="394" t="s">
        <v>2057</v>
      </c>
      <c r="K81" s="394" t="s">
        <v>2056</v>
      </c>
      <c r="L81" s="394" t="s">
        <v>2055</v>
      </c>
      <c r="M81" s="394" t="s">
        <v>2166</v>
      </c>
      <c r="N81" s="394"/>
    </row>
    <row r="82" spans="1:14" ht="15.75">
      <c r="B82" s="811"/>
      <c r="C82" s="402" t="s">
        <v>1352</v>
      </c>
      <c r="D82" s="402">
        <v>1.6</v>
      </c>
      <c r="E82" s="402">
        <v>1.6</v>
      </c>
      <c r="F82" s="402">
        <f>D82*E82</f>
        <v>2.5600000000000005</v>
      </c>
      <c r="G82" s="402">
        <v>12</v>
      </c>
      <c r="H82" s="402">
        <f>F82*G82</f>
        <v>30.720000000000006</v>
      </c>
      <c r="I82" s="402">
        <f>H82</f>
        <v>30.720000000000006</v>
      </c>
      <c r="J82" s="402">
        <f>H82</f>
        <v>30.720000000000006</v>
      </c>
      <c r="K82" s="402" t="s">
        <v>100</v>
      </c>
      <c r="L82" s="402" t="s">
        <v>100</v>
      </c>
      <c r="N82" s="402"/>
    </row>
    <row r="83" spans="1:14" ht="15.75">
      <c r="B83" s="811"/>
      <c r="C83" s="402" t="s">
        <v>1353</v>
      </c>
      <c r="D83" s="402">
        <v>1.6</v>
      </c>
      <c r="E83" s="402">
        <v>0.9</v>
      </c>
      <c r="F83" s="402">
        <f>D83*E83</f>
        <v>1.4400000000000002</v>
      </c>
      <c r="G83" s="402">
        <v>3</v>
      </c>
      <c r="H83" s="402">
        <f>F83*G83</f>
        <v>4.32</v>
      </c>
      <c r="I83" s="402">
        <f>H83</f>
        <v>4.32</v>
      </c>
      <c r="J83" s="402">
        <f>H83</f>
        <v>4.32</v>
      </c>
      <c r="K83" s="402" t="s">
        <v>100</v>
      </c>
      <c r="L83" s="402" t="s">
        <v>100</v>
      </c>
      <c r="N83" s="402"/>
    </row>
    <row r="84" spans="1:14" ht="15.75">
      <c r="B84" s="811"/>
      <c r="C84" s="402" t="s">
        <v>1354</v>
      </c>
      <c r="D84" s="402">
        <v>0.6</v>
      </c>
      <c r="E84" s="402">
        <v>0.9</v>
      </c>
      <c r="F84" s="402">
        <f>D84*E84</f>
        <v>0.54</v>
      </c>
      <c r="G84" s="402">
        <v>4</v>
      </c>
      <c r="H84" s="402">
        <f>F84*G84</f>
        <v>2.16</v>
      </c>
      <c r="I84" s="402">
        <f>H84</f>
        <v>2.16</v>
      </c>
      <c r="J84" s="402">
        <f>H84</f>
        <v>2.16</v>
      </c>
      <c r="K84" s="402" t="s">
        <v>100</v>
      </c>
      <c r="L84" s="402" t="s">
        <v>100</v>
      </c>
      <c r="N84" s="402"/>
    </row>
    <row r="85" spans="1:14" ht="15.75">
      <c r="B85" s="811"/>
      <c r="C85" s="455" t="s">
        <v>563</v>
      </c>
      <c r="D85" s="455"/>
      <c r="E85" s="455"/>
      <c r="F85" s="455"/>
      <c r="G85" s="455"/>
      <c r="H85" s="455"/>
      <c r="I85" s="455">
        <f>TRUNC(SUM(I82:I84),2)</f>
        <v>37.200000000000003</v>
      </c>
      <c r="J85" s="455">
        <f t="shared" ref="J85:M85" si="11">TRUNC(SUM(J82:J84),2)</f>
        <v>37.200000000000003</v>
      </c>
      <c r="K85" s="455">
        <f t="shared" si="11"/>
        <v>0</v>
      </c>
      <c r="L85" s="455">
        <f t="shared" si="11"/>
        <v>0</v>
      </c>
      <c r="M85" s="455">
        <f t="shared" si="11"/>
        <v>0</v>
      </c>
      <c r="N85" s="455"/>
    </row>
    <row r="86" spans="1:14" ht="15.75">
      <c r="B86" s="811"/>
      <c r="C86" s="402"/>
      <c r="D86" s="402"/>
      <c r="E86" s="402"/>
      <c r="F86" s="402"/>
      <c r="G86" s="393"/>
      <c r="H86" s="402"/>
      <c r="I86" s="402"/>
      <c r="J86" s="402"/>
      <c r="K86" s="402"/>
      <c r="L86" s="393"/>
      <c r="N86" s="402"/>
    </row>
    <row r="87" spans="1:14">
      <c r="A87" s="454" t="s">
        <v>2495</v>
      </c>
      <c r="B87" s="69"/>
      <c r="C87" s="69"/>
      <c r="N87" s="11"/>
    </row>
    <row r="88" spans="1:14" ht="78.75">
      <c r="A88" s="405"/>
      <c r="B88" s="405"/>
      <c r="C88" s="393" t="s">
        <v>100</v>
      </c>
      <c r="D88" s="393" t="s">
        <v>2062</v>
      </c>
      <c r="E88" s="393" t="s">
        <v>2061</v>
      </c>
      <c r="F88" s="393" t="s">
        <v>2060</v>
      </c>
      <c r="G88" s="393" t="s">
        <v>2059</v>
      </c>
      <c r="H88" s="393" t="s">
        <v>2054</v>
      </c>
      <c r="I88" s="394" t="s">
        <v>2058</v>
      </c>
      <c r="J88" s="394" t="s">
        <v>2057</v>
      </c>
      <c r="K88" s="394" t="s">
        <v>2056</v>
      </c>
      <c r="L88" s="394" t="s">
        <v>2055</v>
      </c>
      <c r="M88" s="394" t="s">
        <v>2166</v>
      </c>
      <c r="N88" s="394"/>
    </row>
    <row r="89" spans="1:14" ht="15.75">
      <c r="A89" s="405" t="s">
        <v>2051</v>
      </c>
      <c r="B89" t="s">
        <v>249</v>
      </c>
      <c r="C89" s="3" t="s">
        <v>1351</v>
      </c>
      <c r="D89" s="11">
        <v>1.4</v>
      </c>
      <c r="E89" s="11">
        <v>1.5</v>
      </c>
      <c r="G89" s="3">
        <v>5</v>
      </c>
      <c r="H89" s="402">
        <f>TRUNC(D89*E89*G89,2)</f>
        <v>10.5</v>
      </c>
      <c r="I89" s="405">
        <f t="shared" ref="I89:J100" si="12">H89</f>
        <v>10.5</v>
      </c>
      <c r="J89" s="402">
        <f t="shared" si="12"/>
        <v>10.5</v>
      </c>
      <c r="K89" s="402"/>
      <c r="L89" s="405"/>
      <c r="M89" s="405"/>
      <c r="N89" s="402"/>
    </row>
    <row r="90" spans="1:14" ht="15.75">
      <c r="A90" s="405" t="s">
        <v>2051</v>
      </c>
      <c r="B90" t="s">
        <v>249</v>
      </c>
      <c r="C90" s="3" t="s">
        <v>1352</v>
      </c>
      <c r="D90" s="11">
        <v>1.2</v>
      </c>
      <c r="E90" s="11">
        <v>1.5</v>
      </c>
      <c r="G90" s="3">
        <v>8</v>
      </c>
      <c r="H90" s="402">
        <f t="shared" ref="H90:H125" si="13">TRUNC(D90*E90*G90,2)</f>
        <v>14.4</v>
      </c>
      <c r="I90" s="405">
        <f t="shared" si="12"/>
        <v>14.4</v>
      </c>
      <c r="J90" s="402">
        <f t="shared" si="12"/>
        <v>14.4</v>
      </c>
      <c r="K90" s="402"/>
      <c r="L90" s="405"/>
      <c r="M90" s="405"/>
      <c r="N90" s="402"/>
    </row>
    <row r="91" spans="1:14" ht="15.75">
      <c r="A91" s="405" t="s">
        <v>2051</v>
      </c>
      <c r="B91" t="s">
        <v>249</v>
      </c>
      <c r="C91" s="3" t="s">
        <v>1353</v>
      </c>
      <c r="D91" s="11">
        <v>1</v>
      </c>
      <c r="E91" s="11">
        <v>1.5</v>
      </c>
      <c r="G91" s="3">
        <v>3</v>
      </c>
      <c r="H91" s="402">
        <f t="shared" si="13"/>
        <v>4.5</v>
      </c>
      <c r="I91" s="405">
        <f t="shared" si="12"/>
        <v>4.5</v>
      </c>
      <c r="J91" s="402">
        <f t="shared" si="12"/>
        <v>4.5</v>
      </c>
      <c r="K91" s="402"/>
      <c r="L91" s="405"/>
      <c r="M91" s="405"/>
      <c r="N91" s="402"/>
    </row>
    <row r="92" spans="1:14" ht="15.75">
      <c r="A92" s="405" t="s">
        <v>2051</v>
      </c>
      <c r="B92" s="213" t="s">
        <v>249</v>
      </c>
      <c r="C92" s="65" t="s">
        <v>2201</v>
      </c>
      <c r="D92" s="11">
        <v>0.5</v>
      </c>
      <c r="E92" s="11">
        <v>2</v>
      </c>
      <c r="G92" s="65">
        <v>6</v>
      </c>
      <c r="H92" s="402">
        <f t="shared" si="13"/>
        <v>6</v>
      </c>
      <c r="I92" s="405">
        <f t="shared" si="12"/>
        <v>6</v>
      </c>
      <c r="J92" s="402">
        <f t="shared" si="12"/>
        <v>6</v>
      </c>
      <c r="K92" s="402"/>
      <c r="L92" s="405"/>
      <c r="M92" s="405"/>
      <c r="N92" s="402"/>
    </row>
    <row r="93" spans="1:14" ht="15.75">
      <c r="A93" s="405" t="s">
        <v>2051</v>
      </c>
      <c r="B93" s="213" t="s">
        <v>249</v>
      </c>
      <c r="C93" s="65" t="s">
        <v>2196</v>
      </c>
      <c r="D93" s="11">
        <v>0.5</v>
      </c>
      <c r="E93" s="11">
        <v>1.4</v>
      </c>
      <c r="G93" s="65">
        <v>1</v>
      </c>
      <c r="H93" s="402">
        <f t="shared" si="13"/>
        <v>0.7</v>
      </c>
      <c r="I93" s="405">
        <f t="shared" si="12"/>
        <v>0.7</v>
      </c>
      <c r="J93" s="402">
        <f t="shared" si="12"/>
        <v>0.7</v>
      </c>
      <c r="K93" s="402"/>
      <c r="L93" s="405"/>
      <c r="M93" s="405"/>
      <c r="N93" s="402"/>
    </row>
    <row r="94" spans="1:14" ht="15.75">
      <c r="A94" s="405" t="s">
        <v>2051</v>
      </c>
      <c r="B94" t="s">
        <v>249</v>
      </c>
      <c r="C94" s="3" t="s">
        <v>2195</v>
      </c>
      <c r="D94" s="11">
        <v>0.5</v>
      </c>
      <c r="E94" s="11">
        <v>1.2</v>
      </c>
      <c r="G94" s="3">
        <v>9</v>
      </c>
      <c r="H94" s="402">
        <f t="shared" si="13"/>
        <v>5.4</v>
      </c>
      <c r="I94" s="405">
        <f t="shared" si="12"/>
        <v>5.4</v>
      </c>
      <c r="J94" s="402">
        <f t="shared" si="12"/>
        <v>5.4</v>
      </c>
      <c r="K94" s="402"/>
      <c r="L94" s="405"/>
      <c r="M94" s="405"/>
      <c r="N94" s="402"/>
    </row>
    <row r="95" spans="1:14" ht="15.75">
      <c r="A95" s="405" t="s">
        <v>2051</v>
      </c>
      <c r="B95" t="s">
        <v>249</v>
      </c>
      <c r="C95" s="3" t="s">
        <v>2352</v>
      </c>
      <c r="D95" s="11">
        <v>0.5</v>
      </c>
      <c r="E95" s="11">
        <v>1</v>
      </c>
      <c r="G95" s="3">
        <v>11</v>
      </c>
      <c r="H95" s="402">
        <f t="shared" si="13"/>
        <v>5.5</v>
      </c>
      <c r="I95" s="405">
        <f t="shared" si="12"/>
        <v>5.5</v>
      </c>
      <c r="J95" s="402">
        <f t="shared" si="12"/>
        <v>5.5</v>
      </c>
      <c r="K95" s="402"/>
      <c r="L95" s="405"/>
      <c r="M95" s="405"/>
      <c r="N95" s="402"/>
    </row>
    <row r="96" spans="1:14" ht="15.75">
      <c r="A96" s="405" t="s">
        <v>2051</v>
      </c>
      <c r="B96" t="s">
        <v>249</v>
      </c>
      <c r="C96" s="3" t="s">
        <v>2262</v>
      </c>
      <c r="D96" s="11">
        <v>2.5</v>
      </c>
      <c r="E96" s="11">
        <v>6.14</v>
      </c>
      <c r="G96" s="3">
        <v>1</v>
      </c>
      <c r="H96" s="402">
        <f t="shared" si="13"/>
        <v>15.35</v>
      </c>
      <c r="I96" s="405">
        <f t="shared" si="12"/>
        <v>15.35</v>
      </c>
      <c r="J96" s="402">
        <f t="shared" si="12"/>
        <v>15.35</v>
      </c>
      <c r="K96" s="402"/>
      <c r="L96" s="405"/>
      <c r="M96" s="405"/>
      <c r="N96" s="402"/>
    </row>
    <row r="97" spans="1:14" ht="15.75">
      <c r="A97" s="405" t="s">
        <v>2051</v>
      </c>
      <c r="B97" t="s">
        <v>249</v>
      </c>
      <c r="C97" s="3" t="s">
        <v>2353</v>
      </c>
      <c r="D97" s="11">
        <v>2.5</v>
      </c>
      <c r="E97" s="11">
        <v>4.93</v>
      </c>
      <c r="G97" s="3">
        <v>1</v>
      </c>
      <c r="H97" s="402">
        <f t="shared" si="13"/>
        <v>12.32</v>
      </c>
      <c r="I97" s="405">
        <f t="shared" si="12"/>
        <v>12.32</v>
      </c>
      <c r="J97" s="402">
        <f t="shared" si="12"/>
        <v>12.32</v>
      </c>
      <c r="K97" s="402"/>
      <c r="L97" s="405"/>
      <c r="M97" s="405"/>
      <c r="N97" s="402"/>
    </row>
    <row r="98" spans="1:14" ht="15.75">
      <c r="A98" s="405" t="s">
        <v>2051</v>
      </c>
      <c r="B98" t="s">
        <v>2354</v>
      </c>
      <c r="C98" s="3" t="s">
        <v>1351</v>
      </c>
      <c r="D98" s="11">
        <v>1.4</v>
      </c>
      <c r="E98" s="11">
        <v>1.5</v>
      </c>
      <c r="G98" s="3">
        <v>2</v>
      </c>
      <c r="H98" s="402">
        <f t="shared" si="13"/>
        <v>4.2</v>
      </c>
      <c r="I98" s="405">
        <f t="shared" si="12"/>
        <v>4.2</v>
      </c>
      <c r="J98" s="402">
        <f t="shared" si="12"/>
        <v>4.2</v>
      </c>
      <c r="K98" s="402"/>
      <c r="L98" s="405"/>
      <c r="M98" s="405"/>
      <c r="N98" s="402"/>
    </row>
    <row r="99" spans="1:14" ht="15.75">
      <c r="A99" s="405" t="s">
        <v>2051</v>
      </c>
      <c r="B99" t="s">
        <v>2354</v>
      </c>
      <c r="C99" s="3" t="s">
        <v>1352</v>
      </c>
      <c r="D99" s="11">
        <v>1.2</v>
      </c>
      <c r="E99" s="11">
        <v>1.5</v>
      </c>
      <c r="G99" s="3">
        <v>1</v>
      </c>
      <c r="H99" s="402">
        <f t="shared" si="13"/>
        <v>1.8</v>
      </c>
      <c r="I99" s="405">
        <f t="shared" si="12"/>
        <v>1.8</v>
      </c>
      <c r="J99" s="402">
        <f t="shared" si="12"/>
        <v>1.8</v>
      </c>
      <c r="K99" s="402"/>
      <c r="L99" s="405"/>
      <c r="M99" s="405"/>
      <c r="N99" s="402"/>
    </row>
    <row r="100" spans="1:14" ht="15.75">
      <c r="A100" s="405" t="s">
        <v>2051</v>
      </c>
      <c r="B100" t="s">
        <v>2354</v>
      </c>
      <c r="C100" s="3" t="s">
        <v>1353</v>
      </c>
      <c r="D100" s="11">
        <v>1</v>
      </c>
      <c r="E100" s="11">
        <v>1.5</v>
      </c>
      <c r="G100" s="3">
        <v>3</v>
      </c>
      <c r="H100" s="402">
        <f t="shared" si="13"/>
        <v>4.5</v>
      </c>
      <c r="I100" s="405">
        <f t="shared" si="12"/>
        <v>4.5</v>
      </c>
      <c r="J100" s="402">
        <f t="shared" si="12"/>
        <v>4.5</v>
      </c>
      <c r="K100" s="402"/>
      <c r="L100" s="405"/>
      <c r="M100" s="405"/>
      <c r="N100" s="402"/>
    </row>
    <row r="101" spans="1:14" ht="15.75">
      <c r="A101" s="405" t="s">
        <v>2051</v>
      </c>
      <c r="B101" t="s">
        <v>2354</v>
      </c>
      <c r="C101" s="3" t="s">
        <v>1354</v>
      </c>
      <c r="D101" s="11">
        <v>1.4</v>
      </c>
      <c r="E101" s="11">
        <v>1</v>
      </c>
      <c r="G101" s="3">
        <v>2</v>
      </c>
      <c r="H101" s="402">
        <f t="shared" si="13"/>
        <v>2.8</v>
      </c>
      <c r="I101" s="405">
        <f>H101*2</f>
        <v>5.6</v>
      </c>
      <c r="J101" s="402"/>
      <c r="K101" s="402"/>
      <c r="L101" s="405"/>
      <c r="M101" s="405"/>
      <c r="N101" s="402"/>
    </row>
    <row r="102" spans="1:14" ht="15.75">
      <c r="A102" s="405" t="s">
        <v>2051</v>
      </c>
      <c r="B102" t="s">
        <v>2354</v>
      </c>
      <c r="C102" s="3" t="s">
        <v>2134</v>
      </c>
      <c r="D102" s="11">
        <v>1.2</v>
      </c>
      <c r="E102" s="11">
        <v>1.1000000000000001</v>
      </c>
      <c r="G102" s="3">
        <v>6</v>
      </c>
      <c r="H102" s="402">
        <f t="shared" si="13"/>
        <v>7.92</v>
      </c>
      <c r="I102" s="405">
        <f>H102*2</f>
        <v>15.84</v>
      </c>
      <c r="J102" s="402"/>
      <c r="K102" s="402"/>
      <c r="L102" s="405"/>
      <c r="M102" s="405"/>
      <c r="N102" s="402"/>
    </row>
    <row r="103" spans="1:14" ht="15.75">
      <c r="A103" s="405" t="s">
        <v>2051</v>
      </c>
      <c r="B103" s="213" t="s">
        <v>2354</v>
      </c>
      <c r="C103" s="65" t="s">
        <v>2133</v>
      </c>
      <c r="D103" s="425">
        <v>1.1000000000000001</v>
      </c>
      <c r="E103" s="425">
        <v>1</v>
      </c>
      <c r="G103" s="65">
        <v>1</v>
      </c>
      <c r="H103" s="402">
        <f t="shared" si="13"/>
        <v>1.1000000000000001</v>
      </c>
      <c r="I103" s="405">
        <f>H103*2</f>
        <v>2.2000000000000002</v>
      </c>
      <c r="J103" s="402"/>
      <c r="K103" s="402"/>
      <c r="L103" s="405"/>
      <c r="M103" s="405"/>
      <c r="N103" s="402"/>
    </row>
    <row r="104" spans="1:14" ht="15.75">
      <c r="A104" s="405" t="s">
        <v>2051</v>
      </c>
      <c r="B104" t="s">
        <v>2354</v>
      </c>
      <c r="C104" s="3" t="s">
        <v>2196</v>
      </c>
      <c r="D104" s="11">
        <v>0.5</v>
      </c>
      <c r="E104" s="11">
        <v>1.4</v>
      </c>
      <c r="G104" s="3">
        <v>3</v>
      </c>
      <c r="H104" s="402">
        <f t="shared" si="13"/>
        <v>2.1</v>
      </c>
      <c r="I104" s="405">
        <f>H104</f>
        <v>2.1</v>
      </c>
      <c r="J104" s="402">
        <f>I104</f>
        <v>2.1</v>
      </c>
      <c r="K104" s="402"/>
      <c r="L104" s="405"/>
      <c r="M104" s="405"/>
      <c r="N104" s="402"/>
    </row>
    <row r="105" spans="1:14" ht="15.75">
      <c r="A105" s="405" t="s">
        <v>2051</v>
      </c>
      <c r="B105" t="s">
        <v>2354</v>
      </c>
      <c r="C105" s="3" t="s">
        <v>2195</v>
      </c>
      <c r="D105" s="11">
        <v>0.5</v>
      </c>
      <c r="E105" s="11">
        <v>1.2</v>
      </c>
      <c r="G105" s="3">
        <v>1</v>
      </c>
      <c r="H105" s="402">
        <f t="shared" si="13"/>
        <v>0.6</v>
      </c>
      <c r="I105" s="405">
        <f>H105</f>
        <v>0.6</v>
      </c>
      <c r="J105" s="402">
        <f>I105</f>
        <v>0.6</v>
      </c>
      <c r="K105" s="402"/>
      <c r="L105" s="405"/>
      <c r="M105" s="405"/>
      <c r="N105" s="402"/>
    </row>
    <row r="106" spans="1:14" ht="15.75">
      <c r="A106" s="405" t="s">
        <v>2051</v>
      </c>
      <c r="B106" t="s">
        <v>2354</v>
      </c>
      <c r="C106" s="3" t="s">
        <v>2198</v>
      </c>
      <c r="D106" s="11">
        <v>1.1000000000000001</v>
      </c>
      <c r="E106" s="11">
        <v>0.8</v>
      </c>
      <c r="G106" s="3">
        <v>4</v>
      </c>
      <c r="H106" s="402">
        <f t="shared" si="13"/>
        <v>3.52</v>
      </c>
      <c r="I106" s="405">
        <f>H106*2</f>
        <v>7.04</v>
      </c>
      <c r="J106" s="402"/>
      <c r="K106" s="402"/>
      <c r="L106" s="405"/>
      <c r="M106" s="405"/>
      <c r="N106" s="402"/>
    </row>
    <row r="107" spans="1:14" ht="15.75">
      <c r="A107" s="405" t="s">
        <v>2051</v>
      </c>
      <c r="B107" t="s">
        <v>2354</v>
      </c>
      <c r="C107" s="3" t="s">
        <v>2355</v>
      </c>
      <c r="D107" s="11">
        <v>1.8</v>
      </c>
      <c r="E107" s="11">
        <v>2.71</v>
      </c>
      <c r="F107" s="402"/>
      <c r="G107" s="3">
        <v>1</v>
      </c>
      <c r="H107" s="402">
        <f t="shared" si="13"/>
        <v>4.87</v>
      </c>
      <c r="I107" s="405">
        <f>H107</f>
        <v>4.87</v>
      </c>
      <c r="J107" s="402">
        <f>I107</f>
        <v>4.87</v>
      </c>
      <c r="K107" s="402"/>
      <c r="L107" s="405"/>
      <c r="M107" s="405"/>
      <c r="N107" s="402"/>
    </row>
    <row r="108" spans="1:14" ht="15.75">
      <c r="A108" s="405" t="s">
        <v>2051</v>
      </c>
      <c r="B108" t="s">
        <v>2354</v>
      </c>
      <c r="C108" s="3" t="s">
        <v>2356</v>
      </c>
      <c r="D108" s="11">
        <v>1.8</v>
      </c>
      <c r="E108" s="11">
        <v>2.81</v>
      </c>
      <c r="F108" s="402"/>
      <c r="G108" s="3">
        <v>1</v>
      </c>
      <c r="H108" s="402">
        <f t="shared" si="13"/>
        <v>5.05</v>
      </c>
      <c r="I108" s="405">
        <f>H108*2</f>
        <v>10.1</v>
      </c>
      <c r="J108" s="402"/>
      <c r="K108" s="402"/>
      <c r="L108" s="405"/>
      <c r="M108" s="405"/>
      <c r="N108" s="402"/>
    </row>
    <row r="109" spans="1:14" ht="15.75">
      <c r="A109" s="405" t="s">
        <v>2051</v>
      </c>
      <c r="B109" s="213" t="s">
        <v>2354</v>
      </c>
      <c r="C109" s="65" t="s">
        <v>2357</v>
      </c>
      <c r="D109" s="425">
        <v>1.4</v>
      </c>
      <c r="E109" s="425">
        <v>1.5</v>
      </c>
      <c r="F109" s="402"/>
      <c r="G109" s="65">
        <v>1</v>
      </c>
      <c r="H109" s="402">
        <f t="shared" si="13"/>
        <v>2.1</v>
      </c>
      <c r="I109" s="405">
        <f>H109*2</f>
        <v>4.2</v>
      </c>
      <c r="J109" s="402"/>
      <c r="K109" s="402"/>
      <c r="L109" s="405"/>
      <c r="M109" s="405"/>
      <c r="N109" s="402"/>
    </row>
    <row r="110" spans="1:14" ht="15.75">
      <c r="A110" s="405" t="s">
        <v>2051</v>
      </c>
      <c r="B110" t="s">
        <v>552</v>
      </c>
      <c r="C110" s="3" t="s">
        <v>1353</v>
      </c>
      <c r="D110" s="11">
        <v>1.5</v>
      </c>
      <c r="E110" s="11">
        <v>1</v>
      </c>
      <c r="F110" s="402"/>
      <c r="G110" s="3">
        <v>3</v>
      </c>
      <c r="H110" s="402">
        <f t="shared" si="13"/>
        <v>4.5</v>
      </c>
      <c r="I110" s="405">
        <f>H110</f>
        <v>4.5</v>
      </c>
      <c r="J110" s="402">
        <f>I110</f>
        <v>4.5</v>
      </c>
      <c r="K110" s="402"/>
      <c r="L110" s="405"/>
      <c r="M110" s="405"/>
      <c r="N110" s="402"/>
    </row>
    <row r="111" spans="1:14" ht="15.75">
      <c r="A111" s="405" t="s">
        <v>2051</v>
      </c>
      <c r="B111" t="s">
        <v>552</v>
      </c>
      <c r="C111" s="3" t="s">
        <v>2200</v>
      </c>
      <c r="D111" s="11">
        <v>1.2</v>
      </c>
      <c r="E111" s="11">
        <v>1</v>
      </c>
      <c r="F111" s="402"/>
      <c r="G111" s="3">
        <v>2</v>
      </c>
      <c r="H111" s="402">
        <f t="shared" si="13"/>
        <v>2.4</v>
      </c>
      <c r="I111" s="405">
        <f>H111</f>
        <v>2.4</v>
      </c>
      <c r="J111" s="402">
        <f>I111</f>
        <v>2.4</v>
      </c>
      <c r="K111" s="402"/>
      <c r="L111" s="405"/>
      <c r="M111" s="405"/>
      <c r="N111" s="402"/>
    </row>
    <row r="112" spans="1:14" ht="15.75">
      <c r="A112" s="405" t="s">
        <v>2051</v>
      </c>
      <c r="B112" t="s">
        <v>552</v>
      </c>
      <c r="C112" s="3" t="s">
        <v>2199</v>
      </c>
      <c r="D112" s="11">
        <v>1.1000000000000001</v>
      </c>
      <c r="E112" s="11">
        <v>0.8</v>
      </c>
      <c r="F112" s="402"/>
      <c r="G112" s="3">
        <v>2</v>
      </c>
      <c r="H112" s="402">
        <f t="shared" si="13"/>
        <v>1.76</v>
      </c>
      <c r="I112" s="405">
        <f>H112*2</f>
        <v>3.52</v>
      </c>
      <c r="J112" s="402"/>
      <c r="K112" s="402"/>
      <c r="L112" s="405"/>
      <c r="M112" s="405"/>
      <c r="N112" s="402"/>
    </row>
    <row r="113" spans="1:14" ht="15.75">
      <c r="A113" s="405" t="s">
        <v>2051</v>
      </c>
      <c r="B113" t="s">
        <v>552</v>
      </c>
      <c r="C113" s="3" t="s">
        <v>2196</v>
      </c>
      <c r="D113" s="11">
        <v>0.5</v>
      </c>
      <c r="E113" s="11">
        <v>1.4</v>
      </c>
      <c r="F113" s="402"/>
      <c r="G113" s="3">
        <v>22</v>
      </c>
      <c r="H113" s="402">
        <f t="shared" si="13"/>
        <v>15.4</v>
      </c>
      <c r="I113" s="405">
        <f>H113*2</f>
        <v>30.8</v>
      </c>
      <c r="J113" s="402"/>
      <c r="K113" s="402"/>
      <c r="L113" s="405"/>
      <c r="M113" s="405"/>
      <c r="N113" s="402"/>
    </row>
    <row r="114" spans="1:14" ht="15.75">
      <c r="A114" s="405" t="s">
        <v>2051</v>
      </c>
      <c r="B114" t="s">
        <v>552</v>
      </c>
      <c r="C114" s="3" t="s">
        <v>2194</v>
      </c>
      <c r="D114" s="11">
        <v>0.5</v>
      </c>
      <c r="E114" s="11">
        <v>1</v>
      </c>
      <c r="F114" s="402"/>
      <c r="G114" s="3">
        <v>5</v>
      </c>
      <c r="H114" s="402">
        <f t="shared" si="13"/>
        <v>2.5</v>
      </c>
      <c r="I114" s="405">
        <f>H114*2</f>
        <v>5</v>
      </c>
      <c r="J114" s="402"/>
      <c r="K114" s="402"/>
      <c r="L114" s="405"/>
      <c r="M114" s="405"/>
      <c r="N114" s="402"/>
    </row>
    <row r="115" spans="1:14" ht="15.75">
      <c r="A115" s="405" t="s">
        <v>2051</v>
      </c>
      <c r="B115" t="s">
        <v>552</v>
      </c>
      <c r="C115" s="3" t="s">
        <v>2198</v>
      </c>
      <c r="D115" s="11">
        <v>1.1000000000000001</v>
      </c>
      <c r="E115" s="11">
        <v>0.8</v>
      </c>
      <c r="F115" s="402"/>
      <c r="G115" s="3">
        <v>3</v>
      </c>
      <c r="H115" s="402">
        <f t="shared" si="13"/>
        <v>2.64</v>
      </c>
      <c r="I115" s="405">
        <f>H115*2</f>
        <v>5.28</v>
      </c>
      <c r="J115" s="402"/>
      <c r="K115" s="402"/>
      <c r="L115" s="405"/>
      <c r="M115" s="405"/>
      <c r="N115" s="402"/>
    </row>
    <row r="116" spans="1:14" ht="15.75">
      <c r="A116" s="405" t="s">
        <v>2051</v>
      </c>
      <c r="B116" t="s">
        <v>552</v>
      </c>
      <c r="C116" s="3" t="s">
        <v>2197</v>
      </c>
      <c r="D116" s="11">
        <v>1.1000000000000001</v>
      </c>
      <c r="E116" s="11">
        <v>1.2</v>
      </c>
      <c r="G116" s="3">
        <v>2</v>
      </c>
      <c r="H116" s="402">
        <f t="shared" si="13"/>
        <v>2.64</v>
      </c>
      <c r="I116" s="405">
        <f>H116*2</f>
        <v>5.28</v>
      </c>
      <c r="J116" s="402"/>
      <c r="K116" s="402"/>
      <c r="L116" s="405"/>
      <c r="M116" s="405"/>
      <c r="N116" s="402"/>
    </row>
    <row r="117" spans="1:14" ht="15.75">
      <c r="A117" s="405" t="s">
        <v>2051</v>
      </c>
      <c r="B117" t="s">
        <v>2358</v>
      </c>
      <c r="C117" s="3" t="s">
        <v>1354</v>
      </c>
      <c r="D117" s="11">
        <v>1.4</v>
      </c>
      <c r="E117" s="11">
        <v>1.1000000000000001</v>
      </c>
      <c r="G117" s="3">
        <v>5</v>
      </c>
      <c r="H117" s="402">
        <f t="shared" si="13"/>
        <v>7.7</v>
      </c>
      <c r="I117" s="405">
        <f t="shared" ref="I117:J119" si="14">H117</f>
        <v>7.7</v>
      </c>
      <c r="J117" s="402">
        <f t="shared" si="14"/>
        <v>7.7</v>
      </c>
      <c r="K117" s="402"/>
      <c r="L117" s="405"/>
      <c r="M117" s="405"/>
      <c r="N117" s="402"/>
    </row>
    <row r="118" spans="1:14" ht="15.75">
      <c r="A118" s="405" t="s">
        <v>2051</v>
      </c>
      <c r="B118" t="s">
        <v>2358</v>
      </c>
      <c r="C118" s="3" t="s">
        <v>2359</v>
      </c>
      <c r="D118" s="11">
        <v>1.1000000000000001</v>
      </c>
      <c r="E118" s="11">
        <v>1.2</v>
      </c>
      <c r="F118" s="402"/>
      <c r="G118" s="3">
        <v>3</v>
      </c>
      <c r="H118" s="402">
        <f t="shared" si="13"/>
        <v>3.96</v>
      </c>
      <c r="I118" s="405">
        <f t="shared" si="14"/>
        <v>3.96</v>
      </c>
      <c r="J118" s="402">
        <f t="shared" si="14"/>
        <v>3.96</v>
      </c>
      <c r="K118" s="402"/>
      <c r="L118" s="405"/>
      <c r="M118" s="405"/>
      <c r="N118" s="402"/>
    </row>
    <row r="119" spans="1:14" ht="15.75">
      <c r="A119" s="405" t="s">
        <v>2051</v>
      </c>
      <c r="B119" t="s">
        <v>2358</v>
      </c>
      <c r="C119" s="3" t="s">
        <v>2133</v>
      </c>
      <c r="D119" s="11">
        <v>1.1000000000000001</v>
      </c>
      <c r="E119" s="11">
        <v>1</v>
      </c>
      <c r="F119" s="402"/>
      <c r="G119" s="3">
        <v>1</v>
      </c>
      <c r="H119" s="402">
        <f t="shared" si="13"/>
        <v>1.1000000000000001</v>
      </c>
      <c r="I119" s="405">
        <f t="shared" si="14"/>
        <v>1.1000000000000001</v>
      </c>
      <c r="J119" s="402">
        <f t="shared" si="14"/>
        <v>1.1000000000000001</v>
      </c>
      <c r="K119" s="402"/>
      <c r="L119" s="405"/>
      <c r="M119" s="405"/>
      <c r="N119" s="402"/>
    </row>
    <row r="120" spans="1:14" ht="15.75">
      <c r="A120" s="405" t="s">
        <v>2051</v>
      </c>
      <c r="B120" t="s">
        <v>2358</v>
      </c>
      <c r="C120" s="3" t="s">
        <v>2137</v>
      </c>
      <c r="D120" s="11">
        <v>1.1000000000000001</v>
      </c>
      <c r="E120" s="11">
        <v>1.8</v>
      </c>
      <c r="F120" s="402"/>
      <c r="G120" s="3">
        <v>2</v>
      </c>
      <c r="H120" s="402"/>
      <c r="I120" s="405"/>
      <c r="J120" s="402"/>
      <c r="K120" s="402"/>
      <c r="L120" s="405"/>
      <c r="M120" s="405"/>
      <c r="N120" s="402"/>
    </row>
    <row r="121" spans="1:14" ht="15.75">
      <c r="A121" s="405" t="s">
        <v>2051</v>
      </c>
      <c r="B121" t="s">
        <v>2358</v>
      </c>
      <c r="C121" s="3" t="s">
        <v>2196</v>
      </c>
      <c r="D121" s="11">
        <v>0.5</v>
      </c>
      <c r="E121" s="11">
        <v>1.4</v>
      </c>
      <c r="F121" s="402"/>
      <c r="G121" s="3">
        <v>12</v>
      </c>
      <c r="H121" s="402"/>
      <c r="I121" s="405"/>
      <c r="J121" s="402"/>
      <c r="K121" s="402"/>
      <c r="L121" s="405"/>
      <c r="M121" s="405"/>
      <c r="N121" s="402"/>
    </row>
    <row r="122" spans="1:14" ht="15.75">
      <c r="A122" s="405" t="s">
        <v>2051</v>
      </c>
      <c r="B122" t="s">
        <v>2358</v>
      </c>
      <c r="C122" s="3" t="s">
        <v>2195</v>
      </c>
      <c r="D122" s="11">
        <v>0.5</v>
      </c>
      <c r="E122" s="11">
        <v>1.2</v>
      </c>
      <c r="F122" s="402"/>
      <c r="G122" s="3">
        <v>2</v>
      </c>
      <c r="H122" s="402">
        <f t="shared" si="13"/>
        <v>1.2</v>
      </c>
      <c r="I122" s="405">
        <f>H122*2</f>
        <v>2.4</v>
      </c>
      <c r="J122" s="402"/>
      <c r="K122" s="402"/>
      <c r="L122" s="405"/>
      <c r="M122" s="405"/>
      <c r="N122" s="402"/>
    </row>
    <row r="123" spans="1:14" ht="15.75">
      <c r="A123" s="405" t="s">
        <v>2051</v>
      </c>
      <c r="B123" t="s">
        <v>2358</v>
      </c>
      <c r="C123" s="3" t="s">
        <v>2194</v>
      </c>
      <c r="D123" s="11">
        <v>0.5</v>
      </c>
      <c r="E123" s="11">
        <v>1</v>
      </c>
      <c r="F123" s="402"/>
      <c r="G123" s="3">
        <v>1</v>
      </c>
      <c r="H123" s="402">
        <f t="shared" si="13"/>
        <v>0.5</v>
      </c>
      <c r="I123" s="405">
        <f>H123*2</f>
        <v>1</v>
      </c>
      <c r="J123" s="402"/>
      <c r="K123" s="402"/>
      <c r="L123" s="405"/>
      <c r="M123" s="405"/>
      <c r="N123" s="402"/>
    </row>
    <row r="124" spans="1:14" ht="15.75">
      <c r="A124" s="405" t="s">
        <v>2051</v>
      </c>
      <c r="B124" s="405" t="s">
        <v>2193</v>
      </c>
      <c r="D124" s="402">
        <v>6.14</v>
      </c>
      <c r="E124" s="402">
        <v>2.4</v>
      </c>
      <c r="G124" s="402">
        <v>1</v>
      </c>
      <c r="H124" s="402">
        <f t="shared" si="13"/>
        <v>14.73</v>
      </c>
      <c r="I124" s="405"/>
      <c r="J124" s="402"/>
      <c r="K124" s="402"/>
      <c r="L124" s="405"/>
      <c r="M124" s="405">
        <f>H124</f>
        <v>14.73</v>
      </c>
      <c r="N124" s="402"/>
    </row>
    <row r="125" spans="1:14" ht="15.75">
      <c r="A125" s="405" t="s">
        <v>2051</v>
      </c>
      <c r="B125" s="405" t="s">
        <v>2193</v>
      </c>
      <c r="C125" s="402"/>
      <c r="D125" s="402">
        <v>4.93</v>
      </c>
      <c r="E125" s="402">
        <v>2.4</v>
      </c>
      <c r="F125" s="402"/>
      <c r="G125" s="402">
        <v>1</v>
      </c>
      <c r="H125" s="402">
        <f t="shared" si="13"/>
        <v>11.83</v>
      </c>
      <c r="I125" s="405"/>
      <c r="J125" s="402"/>
      <c r="K125" s="402"/>
      <c r="L125" s="405"/>
      <c r="M125" s="405">
        <f>H125</f>
        <v>11.83</v>
      </c>
      <c r="N125" s="402"/>
    </row>
    <row r="126" spans="1:14" ht="15.75">
      <c r="A126" s="405"/>
      <c r="B126" s="405"/>
      <c r="C126" s="455" t="s">
        <v>563</v>
      </c>
      <c r="D126" s="455"/>
      <c r="E126" s="455"/>
      <c r="F126" s="455"/>
      <c r="G126" s="455"/>
      <c r="H126" s="455"/>
      <c r="I126" s="455">
        <f>TRUNC(SUM(I89:I125),2)</f>
        <v>210.66</v>
      </c>
      <c r="J126" s="455">
        <f t="shared" ref="J126:M126" si="15">TRUNC(SUM(J89:J125),2)</f>
        <v>112.4</v>
      </c>
      <c r="K126" s="455">
        <f t="shared" si="15"/>
        <v>0</v>
      </c>
      <c r="L126" s="455">
        <f t="shared" si="15"/>
        <v>0</v>
      </c>
      <c r="M126" s="455">
        <f t="shared" si="15"/>
        <v>26.56</v>
      </c>
      <c r="N126" s="455"/>
    </row>
    <row r="127" spans="1:14">
      <c r="N127" s="11"/>
    </row>
    <row r="128" spans="1:14">
      <c r="N128" s="11"/>
    </row>
    <row r="129" spans="1:17">
      <c r="N129" s="11"/>
    </row>
    <row r="130" spans="1:17">
      <c r="N130" s="11"/>
    </row>
    <row r="131" spans="1:17" ht="22.5">
      <c r="A131" s="830" t="s">
        <v>2192</v>
      </c>
      <c r="B131" s="830"/>
      <c r="C131" s="830"/>
      <c r="D131" s="830"/>
      <c r="E131" s="830"/>
      <c r="F131" s="830"/>
      <c r="G131" s="830"/>
      <c r="H131" s="830"/>
      <c r="I131" s="830"/>
      <c r="J131" s="830"/>
      <c r="K131" s="830"/>
      <c r="L131" s="830"/>
      <c r="M131" s="830"/>
      <c r="N131" s="830"/>
      <c r="O131" s="830"/>
      <c r="P131" s="830"/>
      <c r="Q131" s="830"/>
    </row>
    <row r="132" spans="1:17" ht="78.75">
      <c r="A132" s="811" t="s">
        <v>2191</v>
      </c>
      <c r="B132" s="811"/>
      <c r="C132" s="414" t="s">
        <v>2190</v>
      </c>
      <c r="D132" s="393" t="s">
        <v>2062</v>
      </c>
      <c r="E132" s="393" t="s">
        <v>2061</v>
      </c>
      <c r="F132" s="393" t="s">
        <v>2059</v>
      </c>
      <c r="G132" s="393" t="s">
        <v>2169</v>
      </c>
      <c r="H132" s="393" t="s">
        <v>2168</v>
      </c>
      <c r="I132" s="394" t="s">
        <v>2167</v>
      </c>
      <c r="J132" s="393" t="s">
        <v>2069</v>
      </c>
      <c r="K132" s="394" t="s">
        <v>2058</v>
      </c>
      <c r="L132" s="394" t="s">
        <v>2057</v>
      </c>
      <c r="M132" s="394" t="s">
        <v>2056</v>
      </c>
      <c r="N132" s="394" t="s">
        <v>2055</v>
      </c>
      <c r="O132" s="394" t="s">
        <v>2055</v>
      </c>
      <c r="P132" s="394"/>
      <c r="Q132" s="394" t="s">
        <v>2165</v>
      </c>
    </row>
    <row r="133" spans="1:17" ht="15.75">
      <c r="A133" s="811"/>
      <c r="B133" s="811"/>
      <c r="C133" s="402" t="s">
        <v>2174</v>
      </c>
      <c r="D133" s="402">
        <v>0.8</v>
      </c>
      <c r="E133" s="402">
        <v>2.2999999999999998</v>
      </c>
      <c r="F133" s="402">
        <v>8</v>
      </c>
      <c r="G133" s="402">
        <f>D133*0.15</f>
        <v>0.12</v>
      </c>
      <c r="H133" s="402" t="s">
        <v>100</v>
      </c>
      <c r="I133" s="402" t="s">
        <v>100</v>
      </c>
      <c r="J133">
        <f>SUM(G133:I133) *F133</f>
        <v>0.96</v>
      </c>
      <c r="K133" s="402">
        <f>J133*2</f>
        <v>1.92</v>
      </c>
      <c r="L133" s="402" t="s">
        <v>100</v>
      </c>
      <c r="M133" s="402" t="s">
        <v>100</v>
      </c>
      <c r="N133" s="402" t="s">
        <v>100</v>
      </c>
      <c r="O133" s="402" t="s">
        <v>100</v>
      </c>
      <c r="P133" s="402"/>
      <c r="Q133" s="412" t="s">
        <v>2179</v>
      </c>
    </row>
    <row r="134" spans="1:17" ht="15.75">
      <c r="A134" s="811"/>
      <c r="B134" s="811"/>
      <c r="C134" s="402" t="s">
        <v>2173</v>
      </c>
      <c r="D134" s="402">
        <v>0.9</v>
      </c>
      <c r="E134" s="402">
        <v>1.4</v>
      </c>
      <c r="F134" s="402">
        <v>1</v>
      </c>
      <c r="G134" s="402">
        <f>D134*0.15</f>
        <v>0.13500000000000001</v>
      </c>
      <c r="H134" s="402" t="s">
        <v>100</v>
      </c>
      <c r="I134" s="402" t="s">
        <v>100</v>
      </c>
      <c r="J134">
        <f>SUM(G134:I134) *F134</f>
        <v>0.13500000000000001</v>
      </c>
      <c r="K134" s="402">
        <f>J134*2</f>
        <v>0.27</v>
      </c>
      <c r="L134" s="402" t="s">
        <v>100</v>
      </c>
      <c r="M134" s="402" t="s">
        <v>100</v>
      </c>
      <c r="N134" s="402" t="s">
        <v>100</v>
      </c>
      <c r="O134" s="402" t="s">
        <v>100</v>
      </c>
      <c r="P134" s="402"/>
      <c r="Q134" s="412" t="s">
        <v>2179</v>
      </c>
    </row>
    <row r="135" spans="1:17" ht="31.5">
      <c r="A135" s="811"/>
      <c r="B135" s="811"/>
      <c r="C135" s="402" t="s">
        <v>2170</v>
      </c>
      <c r="D135" s="402">
        <v>8</v>
      </c>
      <c r="E135" s="402">
        <v>2.2999999999999998</v>
      </c>
      <c r="F135" s="402">
        <v>2</v>
      </c>
      <c r="G135" s="402" t="s">
        <v>100</v>
      </c>
      <c r="H135" s="402" t="s">
        <v>100</v>
      </c>
      <c r="I135" s="402">
        <f>D135*E135</f>
        <v>18.399999999999999</v>
      </c>
      <c r="J135">
        <f>SUM(G135:I135) *F135</f>
        <v>36.799999999999997</v>
      </c>
      <c r="K135" s="402">
        <f>J135*2</f>
        <v>73.599999999999994</v>
      </c>
      <c r="L135" s="402" t="s">
        <v>100</v>
      </c>
      <c r="M135" s="402" t="s">
        <v>100</v>
      </c>
      <c r="N135" s="402" t="s">
        <v>100</v>
      </c>
      <c r="O135" s="402" t="s">
        <v>100</v>
      </c>
      <c r="P135" s="402"/>
      <c r="Q135" s="412" t="s">
        <v>2184</v>
      </c>
    </row>
    <row r="136" spans="1:17" ht="15.75">
      <c r="A136" s="811"/>
      <c r="B136" s="811"/>
      <c r="C136" s="402"/>
      <c r="D136" s="402"/>
      <c r="E136" s="402"/>
      <c r="F136" s="402"/>
      <c r="G136" s="402"/>
      <c r="H136" s="402"/>
      <c r="I136" s="402"/>
      <c r="K136" s="405"/>
      <c r="L136" s="402"/>
      <c r="M136" s="405"/>
      <c r="N136" s="402"/>
      <c r="O136" s="402"/>
      <c r="P136" s="402"/>
    </row>
    <row r="137" spans="1:17" ht="15.75">
      <c r="A137" s="811"/>
      <c r="B137" s="811"/>
      <c r="C137" s="402"/>
      <c r="D137" s="402"/>
      <c r="E137" s="402" t="s">
        <v>2091</v>
      </c>
      <c r="F137" s="11">
        <f>SUM(F133:F136)</f>
        <v>11</v>
      </c>
      <c r="G137" s="402">
        <f>SUM(G133:G136)</f>
        <v>0.255</v>
      </c>
      <c r="H137" s="402">
        <v>0</v>
      </c>
      <c r="I137" s="402">
        <f>SUM(I133:I136)</f>
        <v>18.399999999999999</v>
      </c>
      <c r="J137">
        <f>SUM(J133:J135)</f>
        <v>37.894999999999996</v>
      </c>
      <c r="K137" s="402"/>
      <c r="L137" s="402"/>
      <c r="M137" s="402"/>
      <c r="N137" s="402"/>
      <c r="O137" s="402"/>
      <c r="P137" s="412"/>
    </row>
    <row r="138" spans="1:17" ht="15.75">
      <c r="A138" s="811"/>
      <c r="B138" s="811"/>
      <c r="C138" s="402"/>
      <c r="D138" s="402"/>
      <c r="E138" s="402"/>
      <c r="F138" s="402"/>
      <c r="G138" s="402"/>
      <c r="H138" s="402"/>
      <c r="I138" s="402"/>
      <c r="K138" s="405"/>
      <c r="L138" s="402"/>
      <c r="M138" s="405"/>
      <c r="N138" s="402"/>
      <c r="O138" s="402"/>
      <c r="P138" s="402"/>
    </row>
    <row r="139" spans="1:17" ht="78.75">
      <c r="A139" s="811" t="s">
        <v>2189</v>
      </c>
      <c r="B139" s="811"/>
      <c r="C139" s="393" t="s">
        <v>100</v>
      </c>
      <c r="D139" s="393" t="s">
        <v>2062</v>
      </c>
      <c r="E139" s="393" t="s">
        <v>2061</v>
      </c>
      <c r="F139" s="393" t="s">
        <v>2059</v>
      </c>
      <c r="G139" s="393" t="s">
        <v>2169</v>
      </c>
      <c r="H139" s="393" t="s">
        <v>2168</v>
      </c>
      <c r="I139" s="394" t="s">
        <v>2167</v>
      </c>
      <c r="J139" s="393" t="s">
        <v>2069</v>
      </c>
      <c r="K139" s="394" t="s">
        <v>2058</v>
      </c>
      <c r="L139" s="394" t="s">
        <v>2057</v>
      </c>
      <c r="M139" s="394" t="s">
        <v>2056</v>
      </c>
      <c r="N139" s="394" t="s">
        <v>2055</v>
      </c>
      <c r="O139" s="394" t="s">
        <v>2055</v>
      </c>
      <c r="P139" s="394"/>
      <c r="Q139" s="394" t="s">
        <v>2165</v>
      </c>
    </row>
    <row r="140" spans="1:17" ht="15.75">
      <c r="A140" s="811"/>
      <c r="B140" s="811"/>
      <c r="C140" s="402" t="s">
        <v>2182</v>
      </c>
      <c r="D140" s="402">
        <v>0.8</v>
      </c>
      <c r="E140" s="402">
        <v>2.4</v>
      </c>
      <c r="F140" s="402">
        <v>23</v>
      </c>
      <c r="G140" s="402">
        <f>D140*0.24</f>
        <v>0.192</v>
      </c>
      <c r="H140" s="402" t="s">
        <v>100</v>
      </c>
      <c r="I140" s="402" t="s">
        <v>100</v>
      </c>
      <c r="J140">
        <f t="shared" ref="J140:J146" si="16">SUM(G140:I140) *F140</f>
        <v>4.4160000000000004</v>
      </c>
      <c r="K140" s="402">
        <f t="shared" ref="K140:K146" si="17">J140*2</f>
        <v>8.8320000000000007</v>
      </c>
      <c r="L140" s="402" t="s">
        <v>100</v>
      </c>
      <c r="M140" s="402" t="s">
        <v>100</v>
      </c>
      <c r="N140" s="402" t="s">
        <v>100</v>
      </c>
      <c r="O140" s="402" t="s">
        <v>100</v>
      </c>
      <c r="P140" s="402"/>
      <c r="Q140" s="412" t="s">
        <v>2179</v>
      </c>
    </row>
    <row r="141" spans="1:17" ht="31.5">
      <c r="A141" s="811"/>
      <c r="B141" s="811"/>
      <c r="C141" s="402" t="s">
        <v>2181</v>
      </c>
      <c r="D141" s="402">
        <v>0.8</v>
      </c>
      <c r="E141" s="402">
        <v>2.4</v>
      </c>
      <c r="F141" s="402">
        <v>16</v>
      </c>
      <c r="G141" s="402">
        <f>D141*0.24</f>
        <v>0.192</v>
      </c>
      <c r="H141" s="402">
        <f>1*0.15</f>
        <v>0.15</v>
      </c>
      <c r="I141" s="402" t="s">
        <v>100</v>
      </c>
      <c r="J141">
        <f t="shared" si="16"/>
        <v>5.4719999999999995</v>
      </c>
      <c r="K141" s="402">
        <f t="shared" si="17"/>
        <v>10.943999999999999</v>
      </c>
      <c r="L141" s="402" t="s">
        <v>100</v>
      </c>
      <c r="M141" s="402" t="s">
        <v>100</v>
      </c>
      <c r="N141" s="402" t="s">
        <v>100</v>
      </c>
      <c r="O141" s="402" t="s">
        <v>100</v>
      </c>
      <c r="P141" s="402"/>
      <c r="Q141" s="412" t="s">
        <v>2172</v>
      </c>
    </row>
    <row r="142" spans="1:17" ht="15.75">
      <c r="A142" s="811"/>
      <c r="B142" s="811"/>
      <c r="C142" s="402" t="s">
        <v>2188</v>
      </c>
      <c r="D142" s="402">
        <v>0.9</v>
      </c>
      <c r="E142" s="402">
        <v>2.1</v>
      </c>
      <c r="F142" s="402">
        <v>6</v>
      </c>
      <c r="G142" s="402">
        <f>D142*0.24</f>
        <v>0.216</v>
      </c>
      <c r="H142" s="402">
        <v>0</v>
      </c>
      <c r="I142" s="402" t="s">
        <v>100</v>
      </c>
      <c r="J142">
        <f t="shared" si="16"/>
        <v>1.296</v>
      </c>
      <c r="K142" s="402">
        <f t="shared" si="17"/>
        <v>2.5920000000000001</v>
      </c>
      <c r="L142" s="402" t="s">
        <v>100</v>
      </c>
      <c r="M142" s="402" t="s">
        <v>100</v>
      </c>
      <c r="N142" s="402" t="s">
        <v>100</v>
      </c>
      <c r="O142" s="402" t="s">
        <v>100</v>
      </c>
      <c r="P142" s="402"/>
      <c r="Q142" s="412" t="s">
        <v>2175</v>
      </c>
    </row>
    <row r="143" spans="1:17" ht="31.5">
      <c r="A143" s="811"/>
      <c r="B143" s="811"/>
      <c r="C143" s="402" t="s">
        <v>2187</v>
      </c>
      <c r="D143" s="402">
        <v>1.2</v>
      </c>
      <c r="E143" s="402">
        <v>2.4</v>
      </c>
      <c r="F143" s="402">
        <v>22</v>
      </c>
      <c r="G143" s="402">
        <f>D143*0.24</f>
        <v>0.28799999999999998</v>
      </c>
      <c r="H143" s="402">
        <f>1*0.15</f>
        <v>0.15</v>
      </c>
      <c r="I143" s="402" t="s">
        <v>100</v>
      </c>
      <c r="J143">
        <f t="shared" si="16"/>
        <v>9.6359999999999992</v>
      </c>
      <c r="K143" s="402">
        <f t="shared" si="17"/>
        <v>19.271999999999998</v>
      </c>
      <c r="L143" s="402" t="s">
        <v>100</v>
      </c>
      <c r="M143" s="402" t="s">
        <v>100</v>
      </c>
      <c r="N143" s="402" t="s">
        <v>100</v>
      </c>
      <c r="O143" s="402" t="s">
        <v>100</v>
      </c>
      <c r="P143" s="402"/>
      <c r="Q143" s="412" t="s">
        <v>2172</v>
      </c>
    </row>
    <row r="144" spans="1:17" ht="15.75">
      <c r="A144" s="811"/>
      <c r="B144" s="811"/>
      <c r="C144" s="402" t="s">
        <v>2186</v>
      </c>
      <c r="D144" s="402">
        <v>1.4</v>
      </c>
      <c r="E144" s="402">
        <v>2.4</v>
      </c>
      <c r="F144" s="402">
        <v>1</v>
      </c>
      <c r="G144" s="402">
        <f>D144*0.24</f>
        <v>0.33599999999999997</v>
      </c>
      <c r="H144" s="402" t="s">
        <v>100</v>
      </c>
      <c r="I144" s="402" t="s">
        <v>100</v>
      </c>
      <c r="J144">
        <f t="shared" si="16"/>
        <v>0.33599999999999997</v>
      </c>
      <c r="K144" s="402">
        <f t="shared" si="17"/>
        <v>0.67199999999999993</v>
      </c>
      <c r="L144" s="402" t="s">
        <v>100</v>
      </c>
      <c r="M144" s="402" t="s">
        <v>100</v>
      </c>
      <c r="N144" s="402" t="s">
        <v>100</v>
      </c>
      <c r="O144" s="402" t="s">
        <v>100</v>
      </c>
      <c r="P144" s="402"/>
      <c r="Q144" s="412" t="s">
        <v>2175</v>
      </c>
    </row>
    <row r="145" spans="1:17" ht="47.25">
      <c r="A145" s="811"/>
      <c r="B145" s="811"/>
      <c r="C145" s="402" t="s">
        <v>2118</v>
      </c>
      <c r="D145" s="402">
        <v>1.7</v>
      </c>
      <c r="E145" s="402">
        <v>2.1</v>
      </c>
      <c r="F145" s="402">
        <v>1</v>
      </c>
      <c r="G145" s="402" t="s">
        <v>100</v>
      </c>
      <c r="H145" s="402" t="s">
        <v>100</v>
      </c>
      <c r="I145" s="402">
        <f>D145*E145</f>
        <v>3.57</v>
      </c>
      <c r="J145">
        <f t="shared" si="16"/>
        <v>3.57</v>
      </c>
      <c r="K145" s="402">
        <f t="shared" si="17"/>
        <v>7.14</v>
      </c>
      <c r="L145" s="402" t="s">
        <v>100</v>
      </c>
      <c r="M145" s="402" t="s">
        <v>100</v>
      </c>
      <c r="N145" s="402" t="s">
        <v>100</v>
      </c>
      <c r="O145" s="402" t="s">
        <v>100</v>
      </c>
      <c r="P145" s="402"/>
      <c r="Q145" s="412" t="s">
        <v>2185</v>
      </c>
    </row>
    <row r="146" spans="1:17" ht="31.5">
      <c r="A146" s="811"/>
      <c r="B146" s="811"/>
      <c r="C146" s="402" t="s">
        <v>2117</v>
      </c>
      <c r="D146" s="402">
        <v>1.6</v>
      </c>
      <c r="E146" s="402">
        <v>2.1</v>
      </c>
      <c r="F146" s="402">
        <v>1</v>
      </c>
      <c r="G146" s="402" t="s">
        <v>100</v>
      </c>
      <c r="H146" s="402" t="s">
        <v>100</v>
      </c>
      <c r="I146" s="402">
        <f>D146*E146</f>
        <v>3.3600000000000003</v>
      </c>
      <c r="J146">
        <f t="shared" si="16"/>
        <v>3.3600000000000003</v>
      </c>
      <c r="K146" s="402">
        <f t="shared" si="17"/>
        <v>6.7200000000000006</v>
      </c>
      <c r="L146" s="402" t="s">
        <v>100</v>
      </c>
      <c r="M146" s="402" t="s">
        <v>100</v>
      </c>
      <c r="N146" s="402" t="s">
        <v>100</v>
      </c>
      <c r="O146" s="402" t="s">
        <v>100</v>
      </c>
      <c r="P146" s="402"/>
      <c r="Q146" s="412" t="s">
        <v>2184</v>
      </c>
    </row>
    <row r="147" spans="1:17" ht="15.75">
      <c r="A147" s="811"/>
      <c r="B147" s="811"/>
      <c r="C147" s="402"/>
      <c r="D147" s="402"/>
      <c r="E147" s="402"/>
      <c r="F147" s="402"/>
      <c r="G147" s="402"/>
      <c r="H147" s="402"/>
      <c r="I147" s="402"/>
      <c r="K147" s="405"/>
      <c r="L147" s="402"/>
      <c r="M147" s="405"/>
      <c r="N147" s="402"/>
      <c r="O147" s="402"/>
      <c r="P147" s="402"/>
    </row>
    <row r="148" spans="1:17" ht="15.75">
      <c r="A148" s="811"/>
      <c r="B148" s="811"/>
      <c r="C148" s="402"/>
      <c r="D148" s="402"/>
      <c r="E148" s="402" t="s">
        <v>2063</v>
      </c>
      <c r="F148" s="11">
        <f>SUM(F140:F147)</f>
        <v>70</v>
      </c>
      <c r="G148" s="402">
        <f>SUM(G140:G147)</f>
        <v>1.2239999999999998</v>
      </c>
      <c r="H148" s="402">
        <f>SUM(H140:H147)</f>
        <v>0.3</v>
      </c>
      <c r="I148" s="402">
        <f>SUM(I140:I146)</f>
        <v>6.93</v>
      </c>
      <c r="J148">
        <f>SUM(J140:J146)</f>
        <v>28.085999999999999</v>
      </c>
      <c r="K148" s="405"/>
      <c r="L148" s="402"/>
      <c r="M148" s="402"/>
      <c r="N148" s="402"/>
      <c r="O148" s="402"/>
      <c r="P148" s="402"/>
    </row>
    <row r="149" spans="1:17" ht="15.75">
      <c r="A149" s="811"/>
      <c r="B149" s="811"/>
      <c r="C149" s="402"/>
      <c r="D149" s="402"/>
      <c r="E149" s="402"/>
      <c r="F149" s="402"/>
      <c r="G149" s="402"/>
      <c r="H149" s="402"/>
      <c r="I149" s="402"/>
      <c r="K149" s="405"/>
      <c r="L149" s="402"/>
      <c r="M149" s="405"/>
      <c r="N149" s="402"/>
      <c r="O149" s="402"/>
      <c r="P149" s="402"/>
    </row>
    <row r="150" spans="1:17" ht="78.75">
      <c r="A150" s="811" t="s">
        <v>213</v>
      </c>
      <c r="B150" s="811"/>
      <c r="C150" s="393" t="s">
        <v>100</v>
      </c>
      <c r="D150" s="393" t="s">
        <v>2062</v>
      </c>
      <c r="E150" s="393" t="s">
        <v>2061</v>
      </c>
      <c r="F150" s="393" t="s">
        <v>2059</v>
      </c>
      <c r="G150" s="393" t="s">
        <v>2169</v>
      </c>
      <c r="H150" s="393" t="s">
        <v>2168</v>
      </c>
      <c r="I150" s="394" t="s">
        <v>2167</v>
      </c>
      <c r="J150" s="393" t="s">
        <v>2069</v>
      </c>
      <c r="K150" s="394" t="s">
        <v>2058</v>
      </c>
      <c r="L150" s="394" t="s">
        <v>2057</v>
      </c>
      <c r="M150" s="394" t="s">
        <v>2056</v>
      </c>
      <c r="N150" s="394" t="s">
        <v>2055</v>
      </c>
      <c r="O150" s="394" t="s">
        <v>2055</v>
      </c>
      <c r="P150" s="394"/>
      <c r="Q150" s="394" t="s">
        <v>2165</v>
      </c>
    </row>
    <row r="151" spans="1:17" ht="15.75">
      <c r="A151" s="811"/>
      <c r="B151" s="811"/>
      <c r="C151" s="402" t="s">
        <v>2174</v>
      </c>
      <c r="D151" s="402">
        <v>0.6</v>
      </c>
      <c r="E151" s="402">
        <v>2.2999999999999998</v>
      </c>
      <c r="F151" s="402">
        <v>1</v>
      </c>
      <c r="G151" s="402" t="s">
        <v>100</v>
      </c>
      <c r="H151" s="402" t="s">
        <v>100</v>
      </c>
      <c r="I151" s="402">
        <f>D151*E151</f>
        <v>1.38</v>
      </c>
      <c r="J151">
        <f>SUM(G151:I151) *F151</f>
        <v>1.38</v>
      </c>
      <c r="K151" s="402">
        <f>I151*2</f>
        <v>2.76</v>
      </c>
      <c r="L151" s="402" t="s">
        <v>100</v>
      </c>
      <c r="M151" s="402" t="s">
        <v>100</v>
      </c>
      <c r="N151" s="402" t="s">
        <v>100</v>
      </c>
      <c r="O151" s="402" t="s">
        <v>100</v>
      </c>
      <c r="P151" s="402"/>
      <c r="Q151" s="402" t="s">
        <v>2184</v>
      </c>
    </row>
    <row r="152" spans="1:17" ht="15.75">
      <c r="A152" s="811"/>
      <c r="B152" s="811"/>
      <c r="C152" s="402"/>
      <c r="D152" s="402"/>
      <c r="E152" s="402"/>
      <c r="F152" s="402"/>
      <c r="G152" s="402"/>
      <c r="H152" s="402"/>
      <c r="I152" s="402"/>
      <c r="K152" s="402"/>
      <c r="L152" s="402"/>
      <c r="M152" s="402"/>
      <c r="N152" s="402"/>
      <c r="O152" s="402"/>
      <c r="P152" s="402"/>
      <c r="Q152" s="402"/>
    </row>
    <row r="153" spans="1:17" ht="15.75">
      <c r="A153" s="811"/>
      <c r="B153" s="811"/>
      <c r="C153" s="405"/>
      <c r="D153" s="402"/>
      <c r="E153" s="402" t="s">
        <v>2091</v>
      </c>
      <c r="F153" s="11">
        <f>SUM(F151:F152)</f>
        <v>1</v>
      </c>
      <c r="G153" s="402">
        <f>SUM(G151)</f>
        <v>0</v>
      </c>
      <c r="H153" s="402">
        <f>SUM(H151:H151)</f>
        <v>0</v>
      </c>
      <c r="I153" s="402">
        <f>SUM(I151)</f>
        <v>1.38</v>
      </c>
      <c r="J153">
        <f>SUM(J151)</f>
        <v>1.38</v>
      </c>
      <c r="K153" s="405"/>
      <c r="L153" s="402"/>
      <c r="M153" s="402"/>
      <c r="N153" s="402"/>
      <c r="O153" s="402"/>
      <c r="P153" s="402"/>
    </row>
    <row r="154" spans="1:17" ht="15.75">
      <c r="A154" s="811"/>
      <c r="B154" s="811"/>
      <c r="C154" s="405"/>
      <c r="D154" s="405"/>
      <c r="E154" s="405"/>
      <c r="F154" s="405"/>
      <c r="G154" s="402"/>
      <c r="H154" s="402"/>
      <c r="I154" s="405"/>
      <c r="K154" s="405"/>
      <c r="L154" s="402"/>
      <c r="M154" s="405"/>
      <c r="N154" s="402"/>
      <c r="O154" s="402"/>
      <c r="P154" s="402"/>
    </row>
    <row r="155" spans="1:17" ht="78.75">
      <c r="A155" s="811" t="s">
        <v>1444</v>
      </c>
      <c r="B155" s="811"/>
      <c r="C155" s="393" t="s">
        <v>100</v>
      </c>
      <c r="D155" s="393" t="s">
        <v>2062</v>
      </c>
      <c r="E155" s="393" t="s">
        <v>2061</v>
      </c>
      <c r="F155" s="393" t="s">
        <v>2059</v>
      </c>
      <c r="G155" s="393" t="s">
        <v>2169</v>
      </c>
      <c r="H155" s="393" t="s">
        <v>2168</v>
      </c>
      <c r="I155" s="394" t="s">
        <v>2167</v>
      </c>
      <c r="J155" s="393" t="s">
        <v>2069</v>
      </c>
      <c r="K155" s="394" t="s">
        <v>2058</v>
      </c>
      <c r="L155" s="394" t="s">
        <v>2057</v>
      </c>
      <c r="M155" s="394" t="s">
        <v>2056</v>
      </c>
      <c r="N155" s="394" t="s">
        <v>2055</v>
      </c>
      <c r="O155" s="394" t="s">
        <v>2055</v>
      </c>
      <c r="P155" s="394"/>
      <c r="Q155" s="394" t="s">
        <v>2165</v>
      </c>
    </row>
    <row r="156" spans="1:17" ht="15.75">
      <c r="A156" s="811"/>
      <c r="B156" s="811"/>
      <c r="C156" s="402" t="s">
        <v>2183</v>
      </c>
      <c r="D156" s="402">
        <v>0.8</v>
      </c>
      <c r="E156" s="402">
        <v>2.1</v>
      </c>
      <c r="F156" s="402">
        <v>14</v>
      </c>
      <c r="G156" s="402">
        <f>D156*0.15*F156</f>
        <v>1.68</v>
      </c>
      <c r="H156" s="402" t="s">
        <v>100</v>
      </c>
      <c r="I156" s="402" t="s">
        <v>100</v>
      </c>
      <c r="J156">
        <f>SUM(G156:I156) *F156</f>
        <v>23.52</v>
      </c>
      <c r="K156" s="402">
        <f>J156*2</f>
        <v>47.04</v>
      </c>
      <c r="L156" s="402" t="s">
        <v>100</v>
      </c>
      <c r="M156" s="402" t="s">
        <v>100</v>
      </c>
      <c r="N156" s="402" t="s">
        <v>100</v>
      </c>
      <c r="O156" s="402" t="s">
        <v>100</v>
      </c>
      <c r="P156" s="402"/>
      <c r="Q156" s="412" t="s">
        <v>2175</v>
      </c>
    </row>
    <row r="157" spans="1:17" ht="15.75">
      <c r="A157" s="811"/>
      <c r="B157" s="811"/>
      <c r="C157" s="402" t="s">
        <v>2182</v>
      </c>
      <c r="D157" s="402">
        <v>0.9</v>
      </c>
      <c r="E157" s="402">
        <v>2.1</v>
      </c>
      <c r="F157" s="402">
        <v>2</v>
      </c>
      <c r="G157" s="402">
        <f>D157*0.15*F157</f>
        <v>0.27</v>
      </c>
      <c r="H157" s="402" t="s">
        <v>100</v>
      </c>
      <c r="I157" s="402" t="s">
        <v>100</v>
      </c>
      <c r="J157">
        <f>SUM(G157:I157) *F157</f>
        <v>0.54</v>
      </c>
      <c r="K157" s="402">
        <f>J157*2</f>
        <v>1.08</v>
      </c>
      <c r="L157" s="402" t="s">
        <v>100</v>
      </c>
      <c r="M157" s="402" t="s">
        <v>100</v>
      </c>
      <c r="N157" s="402" t="s">
        <v>100</v>
      </c>
      <c r="O157" s="402" t="s">
        <v>100</v>
      </c>
      <c r="P157" s="402"/>
      <c r="Q157" s="412" t="s">
        <v>2175</v>
      </c>
    </row>
    <row r="158" spans="1:17" ht="15.75">
      <c r="A158" s="811"/>
      <c r="B158" s="811"/>
      <c r="C158" s="402" t="s">
        <v>2181</v>
      </c>
      <c r="D158" s="402">
        <v>1.2</v>
      </c>
      <c r="E158" s="402">
        <v>2.1</v>
      </c>
      <c r="F158" s="402">
        <v>6</v>
      </c>
      <c r="G158" s="402">
        <f>D158*0.15*F158</f>
        <v>1.08</v>
      </c>
      <c r="H158" s="402" t="s">
        <v>100</v>
      </c>
      <c r="I158" s="402" t="s">
        <v>100</v>
      </c>
      <c r="J158">
        <f>SUM(G158:I158) *F158</f>
        <v>6.48</v>
      </c>
      <c r="K158" s="402">
        <f>J158*2</f>
        <v>12.96</v>
      </c>
      <c r="L158" s="402" t="s">
        <v>100</v>
      </c>
      <c r="M158" s="402" t="s">
        <v>100</v>
      </c>
      <c r="N158" s="402" t="s">
        <v>100</v>
      </c>
      <c r="O158" s="402" t="s">
        <v>100</v>
      </c>
      <c r="P158" s="402"/>
      <c r="Q158" s="412" t="s">
        <v>2175</v>
      </c>
    </row>
    <row r="159" spans="1:17" ht="15.75">
      <c r="A159" s="811"/>
      <c r="B159" s="811"/>
      <c r="C159" s="402"/>
      <c r="D159" s="402"/>
      <c r="E159" s="402"/>
      <c r="F159" s="402"/>
      <c r="G159" s="402"/>
      <c r="H159" s="402"/>
      <c r="I159" s="402"/>
      <c r="K159" s="405"/>
      <c r="L159" s="402"/>
      <c r="M159" s="405"/>
      <c r="N159" s="402"/>
      <c r="O159" s="402"/>
      <c r="P159" s="402"/>
    </row>
    <row r="160" spans="1:17" ht="15.75">
      <c r="A160" s="811"/>
      <c r="B160" s="811"/>
      <c r="C160" s="402"/>
      <c r="D160" s="402"/>
      <c r="E160" s="402" t="s">
        <v>2091</v>
      </c>
      <c r="F160" s="11">
        <f>SUM(F156:F159)</f>
        <v>22</v>
      </c>
      <c r="G160" s="402">
        <f>SUM(G156:G159)</f>
        <v>3.0300000000000002</v>
      </c>
      <c r="H160" s="402">
        <f>SUM(H156:H159)</f>
        <v>0</v>
      </c>
      <c r="I160" s="402">
        <f>SUM(I156:I158)</f>
        <v>0</v>
      </c>
      <c r="J160">
        <f>SUM(J156:J158)</f>
        <v>30.54</v>
      </c>
      <c r="K160" s="405"/>
      <c r="L160" s="402"/>
      <c r="M160" s="402"/>
      <c r="N160" s="402"/>
      <c r="O160" s="402"/>
      <c r="P160" s="402"/>
    </row>
    <row r="161" spans="1:17" ht="15.75">
      <c r="A161" s="811"/>
      <c r="B161" s="811"/>
      <c r="C161" s="402"/>
      <c r="D161" s="402"/>
      <c r="E161" s="402"/>
      <c r="F161" s="402"/>
      <c r="G161" s="402"/>
      <c r="H161" s="402"/>
      <c r="I161" s="402"/>
      <c r="K161" s="405"/>
      <c r="L161" s="402"/>
      <c r="M161" s="405"/>
      <c r="N161" s="402"/>
      <c r="O161" s="402"/>
      <c r="P161" s="402"/>
    </row>
    <row r="162" spans="1:17" ht="78.75">
      <c r="A162" s="811" t="s">
        <v>2180</v>
      </c>
      <c r="B162" s="811"/>
      <c r="C162" s="393" t="s">
        <v>100</v>
      </c>
      <c r="D162" s="393" t="s">
        <v>2062</v>
      </c>
      <c r="E162" s="393" t="s">
        <v>2061</v>
      </c>
      <c r="F162" s="393" t="s">
        <v>2059</v>
      </c>
      <c r="G162" s="393" t="s">
        <v>2169</v>
      </c>
      <c r="H162" s="393" t="s">
        <v>2168</v>
      </c>
      <c r="I162" s="394" t="s">
        <v>2167</v>
      </c>
      <c r="J162" s="393" t="s">
        <v>2069</v>
      </c>
      <c r="K162" s="394" t="s">
        <v>2058</v>
      </c>
      <c r="L162" s="394" t="s">
        <v>2057</v>
      </c>
      <c r="M162" s="394" t="s">
        <v>2056</v>
      </c>
      <c r="N162" s="394" t="s">
        <v>2055</v>
      </c>
      <c r="O162" s="394" t="s">
        <v>2166</v>
      </c>
      <c r="P162" s="394"/>
      <c r="Q162" s="394" t="s">
        <v>2165</v>
      </c>
    </row>
    <row r="163" spans="1:17" ht="15.75">
      <c r="A163" s="811"/>
      <c r="B163" s="811"/>
      <c r="C163" s="402" t="s">
        <v>2174</v>
      </c>
      <c r="D163" s="402">
        <v>0.8</v>
      </c>
      <c r="E163" s="402">
        <v>2.5</v>
      </c>
      <c r="F163" s="402">
        <v>2</v>
      </c>
      <c r="G163" s="402">
        <f>D163*0.15*F163</f>
        <v>0.24</v>
      </c>
      <c r="H163" s="402" t="s">
        <v>100</v>
      </c>
      <c r="I163" s="402" t="s">
        <v>100</v>
      </c>
      <c r="J163">
        <f>SUM(G163:I163) *F163</f>
        <v>0.48</v>
      </c>
      <c r="K163" s="402">
        <f>J163*2</f>
        <v>0.96</v>
      </c>
      <c r="L163" s="402" t="s">
        <v>100</v>
      </c>
      <c r="M163" s="402" t="s">
        <v>100</v>
      </c>
      <c r="N163" s="402" t="s">
        <v>100</v>
      </c>
      <c r="O163" s="402" t="s">
        <v>100</v>
      </c>
      <c r="P163" s="402"/>
      <c r="Q163" s="412" t="s">
        <v>2179</v>
      </c>
    </row>
    <row r="164" spans="1:17" ht="15.75">
      <c r="A164" s="811"/>
      <c r="B164" s="811"/>
      <c r="C164" s="402" t="s">
        <v>2173</v>
      </c>
      <c r="D164" s="402">
        <v>0.9</v>
      </c>
      <c r="E164" s="402">
        <v>2.5</v>
      </c>
      <c r="F164" s="402">
        <v>2</v>
      </c>
      <c r="G164" s="402">
        <f>D164*0.15*F164</f>
        <v>0.27</v>
      </c>
      <c r="H164" s="402" t="s">
        <v>100</v>
      </c>
      <c r="I164" s="402" t="s">
        <v>100</v>
      </c>
      <c r="J164">
        <f>SUM(G164:I164) *F164</f>
        <v>0.54</v>
      </c>
      <c r="K164" s="402">
        <f>J164*2</f>
        <v>1.08</v>
      </c>
      <c r="L164" s="402" t="s">
        <v>100</v>
      </c>
      <c r="M164" s="402" t="s">
        <v>100</v>
      </c>
      <c r="N164" s="402" t="s">
        <v>100</v>
      </c>
      <c r="O164" s="402" t="s">
        <v>100</v>
      </c>
      <c r="P164" s="402"/>
      <c r="Q164" s="412" t="s">
        <v>2175</v>
      </c>
    </row>
    <row r="165" spans="1:17" ht="47.25">
      <c r="A165" s="811"/>
      <c r="B165" s="811"/>
      <c r="C165" s="402" t="s">
        <v>2170</v>
      </c>
      <c r="D165" s="402">
        <v>2.15</v>
      </c>
      <c r="E165" s="402">
        <v>2.5</v>
      </c>
      <c r="F165" s="402">
        <v>2</v>
      </c>
      <c r="G165" s="402">
        <f>D165*0.15*F165</f>
        <v>0.64499999999999991</v>
      </c>
      <c r="H165" s="402">
        <f>0.4*0.4*2</f>
        <v>0.32000000000000006</v>
      </c>
      <c r="I165" s="402" t="s">
        <v>100</v>
      </c>
      <c r="J165">
        <f>SUM(G165:I165) *F165</f>
        <v>1.93</v>
      </c>
      <c r="K165" s="402">
        <f>J165*2</f>
        <v>3.86</v>
      </c>
      <c r="L165" s="402" t="s">
        <v>100</v>
      </c>
      <c r="M165" s="402" t="s">
        <v>100</v>
      </c>
      <c r="N165" s="402" t="s">
        <v>100</v>
      </c>
      <c r="O165" s="402" t="s">
        <v>100</v>
      </c>
      <c r="P165" s="402"/>
      <c r="Q165" s="412" t="s">
        <v>2178</v>
      </c>
    </row>
    <row r="166" spans="1:17" ht="15.75">
      <c r="A166" s="811"/>
      <c r="B166" s="811"/>
      <c r="C166" s="402"/>
      <c r="D166" s="402"/>
      <c r="E166" s="402"/>
      <c r="F166" s="402"/>
      <c r="G166" s="402"/>
      <c r="H166" s="402"/>
      <c r="I166" s="402"/>
      <c r="K166" s="405"/>
      <c r="L166" s="402"/>
      <c r="M166" s="405"/>
      <c r="N166" s="402"/>
      <c r="O166" s="402"/>
      <c r="P166" s="402"/>
      <c r="Q166" s="412" t="s">
        <v>2177</v>
      </c>
    </row>
    <row r="167" spans="1:17" ht="15.75">
      <c r="A167" s="811"/>
      <c r="B167" s="811"/>
      <c r="C167" s="402"/>
      <c r="D167" s="402"/>
      <c r="E167" s="402" t="s">
        <v>2091</v>
      </c>
      <c r="F167" s="11">
        <f>SUM(F163:F166)</f>
        <v>6</v>
      </c>
      <c r="G167" s="402">
        <f>SUM(G163:G166)</f>
        <v>1.1549999999999998</v>
      </c>
      <c r="H167" s="402">
        <f>SUM(H163:H166)</f>
        <v>0.32000000000000006</v>
      </c>
      <c r="I167" s="402">
        <f>SUM(I163:I165)</f>
        <v>0</v>
      </c>
      <c r="J167">
        <f>SUM(J163:J165)</f>
        <v>2.95</v>
      </c>
      <c r="K167" s="405"/>
      <c r="L167" s="402"/>
      <c r="M167" s="402"/>
      <c r="N167" s="402"/>
      <c r="O167" s="402"/>
      <c r="P167" s="402"/>
    </row>
    <row r="168" spans="1:17" ht="15.75">
      <c r="A168" s="811"/>
      <c r="B168" s="811"/>
      <c r="C168" s="402"/>
      <c r="D168" s="402"/>
      <c r="E168" s="402"/>
      <c r="F168" s="402"/>
      <c r="G168" s="402"/>
      <c r="H168" s="402"/>
      <c r="I168" s="402"/>
      <c r="K168" s="405"/>
      <c r="L168" s="402"/>
      <c r="M168" s="405"/>
      <c r="N168" s="402"/>
      <c r="O168" s="402"/>
      <c r="P168" s="402"/>
    </row>
    <row r="169" spans="1:17" ht="78.75">
      <c r="A169" s="811" t="s">
        <v>2176</v>
      </c>
      <c r="B169" s="811"/>
      <c r="C169" s="393" t="s">
        <v>100</v>
      </c>
      <c r="D169" s="393" t="s">
        <v>2062</v>
      </c>
      <c r="E169" s="393" t="s">
        <v>2061</v>
      </c>
      <c r="F169" s="393" t="s">
        <v>2059</v>
      </c>
      <c r="G169" s="393" t="s">
        <v>2169</v>
      </c>
      <c r="H169" s="393" t="s">
        <v>2168</v>
      </c>
      <c r="I169" s="394" t="s">
        <v>2167</v>
      </c>
      <c r="J169" s="393" t="s">
        <v>2069</v>
      </c>
      <c r="K169" s="394" t="s">
        <v>2058</v>
      </c>
      <c r="L169" s="394" t="s">
        <v>2057</v>
      </c>
      <c r="M169" s="394" t="s">
        <v>2056</v>
      </c>
      <c r="N169" s="394" t="s">
        <v>2055</v>
      </c>
      <c r="O169" s="394" t="s">
        <v>2166</v>
      </c>
      <c r="P169" s="394"/>
      <c r="Q169" s="394" t="s">
        <v>2165</v>
      </c>
    </row>
    <row r="170" spans="1:17" ht="15.75">
      <c r="A170" s="811"/>
      <c r="B170" s="811"/>
      <c r="C170" s="402" t="s">
        <v>2174</v>
      </c>
      <c r="D170" s="402">
        <v>0.8</v>
      </c>
      <c r="E170" s="402">
        <v>2.2999999999999998</v>
      </c>
      <c r="F170" s="402">
        <v>6</v>
      </c>
      <c r="G170" s="402">
        <f>D170*0.15*F170</f>
        <v>0.72</v>
      </c>
      <c r="H170" s="402">
        <f>1*0.15</f>
        <v>0.15</v>
      </c>
      <c r="I170" s="402" t="s">
        <v>100</v>
      </c>
      <c r="J170">
        <f>SUM(G170:I170) *F170</f>
        <v>5.22</v>
      </c>
      <c r="K170" s="402">
        <f>J170*2</f>
        <v>10.44</v>
      </c>
      <c r="L170" s="402" t="s">
        <v>100</v>
      </c>
      <c r="M170" s="402" t="s">
        <v>100</v>
      </c>
      <c r="N170" s="402" t="s">
        <v>100</v>
      </c>
      <c r="O170" s="402" t="s">
        <v>100</v>
      </c>
      <c r="P170" s="402"/>
      <c r="Q170" s="412" t="s">
        <v>2175</v>
      </c>
    </row>
    <row r="171" spans="1:17" ht="15.75">
      <c r="A171" s="811"/>
      <c r="B171" s="811"/>
      <c r="C171" s="402" t="s">
        <v>2173</v>
      </c>
      <c r="D171" s="402">
        <v>0.9</v>
      </c>
      <c r="E171" s="402">
        <v>2.2999999999999998</v>
      </c>
      <c r="F171" s="402">
        <v>1</v>
      </c>
      <c r="G171" s="402">
        <f>D171*0.15*F171</f>
        <v>0.13500000000000001</v>
      </c>
      <c r="H171" s="402">
        <f>1*0.15</f>
        <v>0.15</v>
      </c>
      <c r="I171" s="402" t="s">
        <v>100</v>
      </c>
      <c r="J171">
        <f>SUM(G171:I171) *F171</f>
        <v>0.28500000000000003</v>
      </c>
      <c r="K171" s="402">
        <f>J171*2</f>
        <v>0.57000000000000006</v>
      </c>
      <c r="L171" s="402" t="s">
        <v>100</v>
      </c>
      <c r="M171" s="402" t="s">
        <v>100</v>
      </c>
      <c r="N171" s="402" t="s">
        <v>100</v>
      </c>
      <c r="O171" s="402" t="s">
        <v>100</v>
      </c>
      <c r="P171" s="402"/>
      <c r="Q171" s="412" t="s">
        <v>2175</v>
      </c>
    </row>
    <row r="172" spans="1:17" ht="15.75">
      <c r="A172" s="811"/>
      <c r="B172" s="811"/>
      <c r="C172" s="402"/>
      <c r="D172" s="402"/>
      <c r="E172" s="402"/>
      <c r="F172" s="402"/>
      <c r="G172" s="402"/>
      <c r="H172" s="402"/>
      <c r="I172" s="402"/>
      <c r="K172" s="402"/>
      <c r="L172" s="402"/>
      <c r="M172" s="402"/>
      <c r="N172" s="402"/>
      <c r="O172" s="402"/>
      <c r="P172" s="402"/>
    </row>
    <row r="173" spans="1:17" ht="15.75">
      <c r="A173" s="811"/>
      <c r="B173" s="811"/>
      <c r="C173" s="402"/>
      <c r="D173" s="402"/>
      <c r="E173" s="402" t="s">
        <v>2091</v>
      </c>
      <c r="F173" s="11">
        <f>SUM(F170:F172)</f>
        <v>7</v>
      </c>
      <c r="G173" s="402">
        <f>SUM(G170:G172)</f>
        <v>0.85499999999999998</v>
      </c>
      <c r="H173" s="402">
        <f>SUM(H170:H172)</f>
        <v>0.3</v>
      </c>
      <c r="I173" s="402">
        <f>SUM(I170:I171)</f>
        <v>0</v>
      </c>
      <c r="J173">
        <f>SUM(J170:J171)</f>
        <v>5.5049999999999999</v>
      </c>
      <c r="K173" s="405"/>
      <c r="L173" s="402"/>
      <c r="M173" s="402"/>
      <c r="N173" s="413"/>
      <c r="O173" s="413"/>
      <c r="P173" s="402"/>
    </row>
    <row r="174" spans="1:17" ht="15.75">
      <c r="A174" s="811"/>
      <c r="B174" s="811"/>
      <c r="C174" s="402"/>
      <c r="D174" s="402"/>
      <c r="E174" s="402"/>
      <c r="F174" s="402"/>
      <c r="G174" s="402"/>
      <c r="H174" s="402"/>
      <c r="I174" s="402"/>
      <c r="K174" s="405"/>
      <c r="L174" s="402"/>
      <c r="M174" s="405"/>
      <c r="N174" s="402"/>
      <c r="O174" s="402"/>
      <c r="P174" s="402"/>
    </row>
    <row r="175" spans="1:17" ht="78.75">
      <c r="A175" s="811" t="s">
        <v>867</v>
      </c>
      <c r="B175" s="811"/>
      <c r="C175" s="393" t="s">
        <v>100</v>
      </c>
      <c r="D175" s="393" t="s">
        <v>2062</v>
      </c>
      <c r="E175" s="393" t="s">
        <v>2061</v>
      </c>
      <c r="F175" s="393" t="s">
        <v>2059</v>
      </c>
      <c r="G175" s="393" t="s">
        <v>2169</v>
      </c>
      <c r="H175" s="393" t="s">
        <v>2168</v>
      </c>
      <c r="I175" s="394" t="s">
        <v>2167</v>
      </c>
      <c r="J175" s="393" t="s">
        <v>2069</v>
      </c>
      <c r="K175" s="394" t="s">
        <v>2058</v>
      </c>
      <c r="L175" s="394" t="s">
        <v>2057</v>
      </c>
      <c r="M175" s="394" t="s">
        <v>2056</v>
      </c>
      <c r="N175" s="394" t="s">
        <v>2055</v>
      </c>
      <c r="O175" s="394" t="s">
        <v>2166</v>
      </c>
      <c r="P175" s="394"/>
      <c r="Q175" s="394" t="s">
        <v>2165</v>
      </c>
    </row>
    <row r="176" spans="1:17" ht="31.5">
      <c r="A176" s="811"/>
      <c r="B176" s="811"/>
      <c r="C176" s="402" t="s">
        <v>2174</v>
      </c>
      <c r="D176" s="402">
        <v>0.8</v>
      </c>
      <c r="E176" s="402">
        <v>2.1</v>
      </c>
      <c r="F176" s="402">
        <v>2</v>
      </c>
      <c r="G176" s="402">
        <f>D176*0.15*F176</f>
        <v>0.24</v>
      </c>
      <c r="H176" s="402">
        <f>1*0.15</f>
        <v>0.15</v>
      </c>
      <c r="I176" s="402" t="s">
        <v>100</v>
      </c>
      <c r="J176">
        <f>SUM(G176:I176) *F176</f>
        <v>0.78</v>
      </c>
      <c r="K176" s="402">
        <f>J176*2</f>
        <v>1.56</v>
      </c>
      <c r="L176" s="402" t="s">
        <v>100</v>
      </c>
      <c r="M176" s="402" t="s">
        <v>100</v>
      </c>
      <c r="N176" s="402" t="s">
        <v>100</v>
      </c>
      <c r="O176" s="402" t="s">
        <v>100</v>
      </c>
      <c r="P176" s="402"/>
      <c r="Q176" s="412" t="s">
        <v>2172</v>
      </c>
    </row>
    <row r="177" spans="1:17" ht="31.5">
      <c r="A177" s="811"/>
      <c r="B177" s="811"/>
      <c r="C177" s="402" t="s">
        <v>2173</v>
      </c>
      <c r="D177" s="402">
        <v>0.9</v>
      </c>
      <c r="E177" s="402">
        <v>2.1</v>
      </c>
      <c r="F177" s="402">
        <v>2</v>
      </c>
      <c r="G177" s="402">
        <f>D177*0.15*F177</f>
        <v>0.27</v>
      </c>
      <c r="H177" s="402">
        <f>1*0.15</f>
        <v>0.15</v>
      </c>
      <c r="I177" s="402" t="s">
        <v>100</v>
      </c>
      <c r="J177">
        <f>SUM(G177:I177) *F177</f>
        <v>0.84000000000000008</v>
      </c>
      <c r="K177" s="402">
        <f>J177*2</f>
        <v>1.6800000000000002</v>
      </c>
      <c r="L177" s="402" t="s">
        <v>100</v>
      </c>
      <c r="M177" s="402" t="s">
        <v>100</v>
      </c>
      <c r="N177" s="402" t="s">
        <v>100</v>
      </c>
      <c r="O177" s="402" t="s">
        <v>100</v>
      </c>
      <c r="P177" s="402"/>
      <c r="Q177" s="412" t="s">
        <v>2172</v>
      </c>
    </row>
    <row r="178" spans="1:17" ht="47.25">
      <c r="A178" s="811"/>
      <c r="B178" s="811"/>
      <c r="C178" s="402" t="s">
        <v>2170</v>
      </c>
      <c r="D178" s="402">
        <v>1.2</v>
      </c>
      <c r="E178" s="402">
        <v>2.1</v>
      </c>
      <c r="F178" s="402">
        <v>7</v>
      </c>
      <c r="G178" s="402">
        <f>D178*0.15*F178</f>
        <v>1.26</v>
      </c>
      <c r="H178" s="402">
        <f>1*0.15</f>
        <v>0.15</v>
      </c>
      <c r="I178" s="402" t="s">
        <v>100</v>
      </c>
      <c r="J178">
        <f>SUM(G178:I178) *F178</f>
        <v>9.8699999999999992</v>
      </c>
      <c r="K178" s="402">
        <f>J178*2</f>
        <v>19.739999999999998</v>
      </c>
      <c r="L178" s="402" t="s">
        <v>100</v>
      </c>
      <c r="M178" s="402" t="s">
        <v>100</v>
      </c>
      <c r="N178" s="402" t="s">
        <v>100</v>
      </c>
      <c r="O178" s="402" t="s">
        <v>100</v>
      </c>
      <c r="P178" s="402"/>
      <c r="Q178" s="412" t="s">
        <v>2171</v>
      </c>
    </row>
    <row r="179" spans="1:17" ht="15.75">
      <c r="A179" s="400"/>
      <c r="B179" s="400"/>
      <c r="C179" s="402"/>
      <c r="D179" s="402"/>
      <c r="E179" s="402"/>
      <c r="F179" s="402"/>
      <c r="G179" s="402"/>
      <c r="H179" s="402"/>
      <c r="I179" s="402"/>
      <c r="K179" s="405"/>
      <c r="L179" s="402"/>
      <c r="M179" s="405"/>
      <c r="N179" s="405"/>
      <c r="O179" s="405"/>
      <c r="P179" s="402"/>
    </row>
    <row r="180" spans="1:17" ht="15.75">
      <c r="A180" s="400"/>
      <c r="B180" s="400"/>
      <c r="C180" s="402"/>
      <c r="D180" s="402"/>
      <c r="E180" s="402" t="s">
        <v>2091</v>
      </c>
      <c r="F180" s="11">
        <f>SUM(F176:F179)</f>
        <v>11</v>
      </c>
      <c r="G180" s="402">
        <f>SUM(G176:G179)</f>
        <v>1.77</v>
      </c>
      <c r="H180" s="402">
        <f>SUM(H176:H179)</f>
        <v>0.44999999999999996</v>
      </c>
      <c r="I180" s="402">
        <f>SUM(I176:I178)</f>
        <v>0</v>
      </c>
      <c r="J180">
        <f>SUM(J176:J178)</f>
        <v>11.489999999999998</v>
      </c>
      <c r="K180" s="405"/>
      <c r="L180" s="402"/>
      <c r="M180" s="402"/>
      <c r="N180" s="405"/>
      <c r="O180" s="405"/>
      <c r="P180" s="402"/>
    </row>
    <row r="181" spans="1:17" ht="78.75">
      <c r="A181" s="831" t="s">
        <v>563</v>
      </c>
      <c r="B181" s="831"/>
      <c r="C181" s="396" t="s">
        <v>100</v>
      </c>
      <c r="D181" s="396" t="s">
        <v>2062</v>
      </c>
      <c r="E181" s="396" t="s">
        <v>2061</v>
      </c>
      <c r="F181" s="396" t="s">
        <v>2059</v>
      </c>
      <c r="G181" s="396" t="s">
        <v>2169</v>
      </c>
      <c r="H181" s="396" t="s">
        <v>2168</v>
      </c>
      <c r="I181" s="395" t="s">
        <v>2167</v>
      </c>
      <c r="J181" s="396" t="s">
        <v>2069</v>
      </c>
      <c r="K181" s="395" t="s">
        <v>2058</v>
      </c>
      <c r="L181" s="395" t="s">
        <v>2057</v>
      </c>
      <c r="M181" s="395" t="s">
        <v>2056</v>
      </c>
      <c r="N181" s="395" t="s">
        <v>2055</v>
      </c>
      <c r="O181" s="395" t="s">
        <v>2166</v>
      </c>
      <c r="P181" s="395"/>
      <c r="Q181" s="395"/>
    </row>
    <row r="182" spans="1:17">
      <c r="A182" s="831"/>
      <c r="B182" s="831"/>
      <c r="C182" s="409"/>
      <c r="D182" s="409" t="s">
        <v>100</v>
      </c>
      <c r="E182" s="409" t="s">
        <v>100</v>
      </c>
      <c r="F182" s="409">
        <f>SUM(F180+F173+F167+F160+F153+F148+F137)</f>
        <v>128</v>
      </c>
      <c r="G182" s="409">
        <f>SUM(G180+G173+G167+G160+G153+G148+G137)</f>
        <v>8.2890000000000015</v>
      </c>
      <c r="H182" s="409">
        <f>SUM(H180+H173+H167+H160+H153+H148+H137)</f>
        <v>1.37</v>
      </c>
      <c r="I182" s="409">
        <f>SUM(I180+I173+I167+I160+I153+I148+I137)</f>
        <v>26.709999999999997</v>
      </c>
      <c r="J182" s="409">
        <f>SUM(J180+J173+J167+J160+J153+J148+J137)</f>
        <v>117.84599999999999</v>
      </c>
      <c r="K182" s="409">
        <f>SUM(K132:K180)</f>
        <v>235.69200000000004</v>
      </c>
      <c r="L182" s="409">
        <f t="shared" ref="L182:O182" si="18">SUM(L132:L180)</f>
        <v>0</v>
      </c>
      <c r="M182" s="409">
        <f t="shared" si="18"/>
        <v>0</v>
      </c>
      <c r="N182" s="409">
        <f t="shared" si="18"/>
        <v>0</v>
      </c>
      <c r="O182" s="409">
        <f t="shared" si="18"/>
        <v>0</v>
      </c>
      <c r="P182" s="409"/>
      <c r="Q182" s="409"/>
    </row>
    <row r="183" spans="1:17">
      <c r="A183" s="411" t="s">
        <v>2494</v>
      </c>
      <c r="B183" s="410"/>
      <c r="C183" s="410"/>
      <c r="N183" s="11"/>
    </row>
    <row r="184" spans="1:17" ht="78.75">
      <c r="A184" s="400"/>
      <c r="B184" s="400"/>
      <c r="C184" s="393" t="s">
        <v>100</v>
      </c>
      <c r="D184" s="393" t="s">
        <v>2095</v>
      </c>
      <c r="E184" s="393" t="s">
        <v>2094</v>
      </c>
      <c r="F184" s="393" t="s">
        <v>2060</v>
      </c>
      <c r="G184" s="393" t="s">
        <v>2059</v>
      </c>
      <c r="H184" s="393" t="s">
        <v>2054</v>
      </c>
      <c r="K184" s="394" t="s">
        <v>2058</v>
      </c>
      <c r="L184" s="394" t="s">
        <v>2057</v>
      </c>
      <c r="M184" s="394" t="s">
        <v>2056</v>
      </c>
      <c r="N184" s="394" t="s">
        <v>2055</v>
      </c>
      <c r="O184" s="405"/>
      <c r="P184" s="402"/>
    </row>
    <row r="185" spans="1:17" ht="15.75">
      <c r="A185" s="400"/>
      <c r="B185" s="400" t="s">
        <v>108</v>
      </c>
      <c r="C185" s="402" t="s">
        <v>2118</v>
      </c>
      <c r="D185" s="402">
        <v>3.45</v>
      </c>
      <c r="E185" s="402">
        <v>2.4</v>
      </c>
      <c r="F185" s="402">
        <f>D185*E185</f>
        <v>8.2799999999999994</v>
      </c>
      <c r="G185" s="402">
        <v>1</v>
      </c>
      <c r="H185" s="402">
        <f>F185*G185</f>
        <v>8.2799999999999994</v>
      </c>
      <c r="K185" s="402">
        <f>H185*2</f>
        <v>16.559999999999999</v>
      </c>
      <c r="L185" s="402" t="s">
        <v>100</v>
      </c>
      <c r="M185" s="402" t="s">
        <v>100</v>
      </c>
      <c r="N185" s="402" t="s">
        <v>100</v>
      </c>
      <c r="O185" s="405"/>
      <c r="P185" s="402"/>
    </row>
    <row r="186" spans="1:17" ht="15.75">
      <c r="A186" s="400"/>
      <c r="B186" s="400"/>
      <c r="C186" s="402" t="s">
        <v>2117</v>
      </c>
      <c r="D186" s="402">
        <v>4</v>
      </c>
      <c r="E186" s="402">
        <v>2.4</v>
      </c>
      <c r="F186" s="402">
        <f>D186*E186</f>
        <v>9.6</v>
      </c>
      <c r="G186" s="402">
        <v>2</v>
      </c>
      <c r="H186" s="402">
        <f>F186*G186</f>
        <v>19.2</v>
      </c>
      <c r="K186" s="402">
        <f>H186*2</f>
        <v>38.4</v>
      </c>
      <c r="L186" s="402" t="s">
        <v>100</v>
      </c>
      <c r="M186" s="402" t="s">
        <v>100</v>
      </c>
      <c r="N186" s="402" t="s">
        <v>100</v>
      </c>
      <c r="O186" s="405"/>
      <c r="P186" s="402"/>
    </row>
    <row r="187" spans="1:17" ht="15.75">
      <c r="A187" s="400"/>
      <c r="B187" s="400"/>
      <c r="C187" s="455" t="s">
        <v>563</v>
      </c>
      <c r="D187" s="455"/>
      <c r="E187" s="455"/>
      <c r="F187" s="456"/>
      <c r="G187" s="455"/>
      <c r="H187" s="455"/>
      <c r="I187" s="455"/>
      <c r="J187" s="457"/>
      <c r="K187" s="458">
        <f>TRUNC(SUM(K185:K186),2)</f>
        <v>54.96</v>
      </c>
      <c r="L187" s="458">
        <f t="shared" ref="L187:N187" si="19">TRUNC(SUM(L185:L186),2)</f>
        <v>0</v>
      </c>
      <c r="M187" s="458">
        <f t="shared" si="19"/>
        <v>0</v>
      </c>
      <c r="N187" s="458">
        <f t="shared" si="19"/>
        <v>0</v>
      </c>
      <c r="O187" s="458"/>
      <c r="P187" s="455"/>
      <c r="Q187" s="457"/>
    </row>
    <row r="188" spans="1:17">
      <c r="A188" s="454" t="s">
        <v>2495</v>
      </c>
      <c r="B188" s="69"/>
      <c r="C188" s="69"/>
      <c r="N188" s="11"/>
    </row>
    <row r="189" spans="1:17" ht="78.75">
      <c r="A189" s="400" t="s">
        <v>2051</v>
      </c>
      <c r="B189" s="400"/>
      <c r="C189" s="402"/>
      <c r="D189" s="393" t="s">
        <v>2062</v>
      </c>
      <c r="E189" s="393" t="s">
        <v>2061</v>
      </c>
      <c r="F189" s="393" t="s">
        <v>2059</v>
      </c>
      <c r="G189" s="393" t="s">
        <v>2169</v>
      </c>
      <c r="H189" s="393" t="s">
        <v>2168</v>
      </c>
      <c r="I189" s="394" t="s">
        <v>2167</v>
      </c>
      <c r="J189" s="393" t="s">
        <v>2069</v>
      </c>
      <c r="K189" s="394" t="s">
        <v>2058</v>
      </c>
      <c r="L189" s="394" t="s">
        <v>2057</v>
      </c>
      <c r="M189" s="394" t="s">
        <v>2056</v>
      </c>
      <c r="N189" s="394" t="s">
        <v>2055</v>
      </c>
      <c r="O189" s="394" t="s">
        <v>2166</v>
      </c>
      <c r="P189" s="394"/>
      <c r="Q189" s="394"/>
    </row>
    <row r="190" spans="1:17" ht="15.75">
      <c r="A190" s="400"/>
      <c r="B190" s="400"/>
      <c r="C190" s="402" t="s">
        <v>2170</v>
      </c>
      <c r="D190" s="402">
        <v>2</v>
      </c>
      <c r="E190" s="402">
        <v>2.1</v>
      </c>
      <c r="F190" s="11">
        <v>1</v>
      </c>
      <c r="G190" s="402"/>
      <c r="H190" s="402"/>
      <c r="I190" s="402">
        <f>D190*E190*F190</f>
        <v>4.2</v>
      </c>
      <c r="J190">
        <f>I190</f>
        <v>4.2</v>
      </c>
      <c r="K190" s="405">
        <f>I190</f>
        <v>4.2</v>
      </c>
      <c r="L190" s="402">
        <f>I190</f>
        <v>4.2</v>
      </c>
      <c r="M190" s="402"/>
      <c r="N190" s="405"/>
      <c r="O190" s="405"/>
      <c r="P190" s="402"/>
    </row>
    <row r="191" spans="1:17" ht="15.75">
      <c r="A191" s="400"/>
      <c r="B191" s="400"/>
      <c r="C191" s="455" t="s">
        <v>563</v>
      </c>
      <c r="D191" s="455"/>
      <c r="E191" s="455"/>
      <c r="F191" s="456"/>
      <c r="G191" s="455"/>
      <c r="H191" s="455"/>
      <c r="I191" s="455"/>
      <c r="J191" s="457"/>
      <c r="K191" s="458">
        <f>TRUNC(SUM(K190),2)</f>
        <v>4.2</v>
      </c>
      <c r="L191" s="458">
        <f t="shared" ref="L191:O191" si="20">TRUNC(SUM(L190),2)</f>
        <v>4.2</v>
      </c>
      <c r="M191" s="458">
        <f t="shared" si="20"/>
        <v>0</v>
      </c>
      <c r="N191" s="458">
        <f t="shared" si="20"/>
        <v>0</v>
      </c>
      <c r="O191" s="458">
        <f t="shared" si="20"/>
        <v>0</v>
      </c>
      <c r="P191" s="455"/>
      <c r="Q191" s="457"/>
    </row>
    <row r="192" spans="1:17" ht="15.75">
      <c r="A192" s="400"/>
      <c r="B192" s="400"/>
      <c r="C192" s="402"/>
      <c r="D192" s="402"/>
      <c r="E192" s="402"/>
      <c r="F192" s="11"/>
      <c r="G192" s="402"/>
      <c r="H192" s="402"/>
      <c r="I192" s="402"/>
      <c r="K192" s="405"/>
      <c r="L192" s="402"/>
      <c r="M192" s="402"/>
      <c r="N192" s="405"/>
      <c r="O192" s="405"/>
      <c r="P192" s="402"/>
    </row>
    <row r="193" spans="16:16">
      <c r="P193" s="11"/>
    </row>
  </sheetData>
  <mergeCells count="20">
    <mergeCell ref="A1:E1"/>
    <mergeCell ref="A181:B182"/>
    <mergeCell ref="A169:B174"/>
    <mergeCell ref="A132:B138"/>
    <mergeCell ref="A139:B149"/>
    <mergeCell ref="A150:B154"/>
    <mergeCell ref="A155:B161"/>
    <mergeCell ref="A162:B168"/>
    <mergeCell ref="A63:B70"/>
    <mergeCell ref="A28:N28"/>
    <mergeCell ref="A175:B178"/>
    <mergeCell ref="A29:B35"/>
    <mergeCell ref="A71:B74"/>
    <mergeCell ref="A131:Q131"/>
    <mergeCell ref="B81:B86"/>
    <mergeCell ref="A77:B78"/>
    <mergeCell ref="A36:B42"/>
    <mergeCell ref="A43:B48"/>
    <mergeCell ref="A49:B55"/>
    <mergeCell ref="A56:B62"/>
  </mergeCells>
  <dataValidations disablePrompts="1" count="1">
    <dataValidation type="list" allowBlank="1" showInputMessage="1" showErrorMessage="1" sqref="B89:B123" xr:uid="{1E317259-D938-4C1A-95BA-3F8D83784D52}">
      <formula1>$N$5:$N$26</formula1>
    </dataValidation>
  </dataValidations>
  <pageMargins left="0.511811024" right="0.511811024" top="0.78740157499999996" bottom="0.78740157499999996" header="0.31496062000000002" footer="0.3149606200000000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71647-7D0F-47E5-8B19-47DC50479A72}">
  <dimension ref="A1:O94"/>
  <sheetViews>
    <sheetView workbookViewId="0">
      <selection activeCell="B5" sqref="B5"/>
    </sheetView>
  </sheetViews>
  <sheetFormatPr defaultRowHeight="15"/>
  <cols>
    <col min="2" max="2" width="19.42578125" customWidth="1"/>
    <col min="3" max="3" width="20.28515625" customWidth="1"/>
    <col min="4" max="4" width="22.5703125" customWidth="1"/>
    <col min="5" max="5" width="19.85546875" customWidth="1"/>
    <col min="6" max="6" width="14.140625" customWidth="1"/>
  </cols>
  <sheetData>
    <row r="1" spans="1:15">
      <c r="A1" s="833" t="s">
        <v>2205</v>
      </c>
      <c r="B1" s="833"/>
      <c r="C1" s="833"/>
      <c r="D1" s="833"/>
      <c r="E1" s="833"/>
    </row>
    <row r="2" spans="1:15" ht="51" customHeight="1">
      <c r="A2" s="3"/>
      <c r="B2" s="395" t="s">
        <v>2058</v>
      </c>
      <c r="C2" s="395" t="s">
        <v>2057</v>
      </c>
      <c r="D2" s="395" t="s">
        <v>2056</v>
      </c>
      <c r="E2" s="395" t="s">
        <v>2055</v>
      </c>
      <c r="F2" s="395" t="s">
        <v>2206</v>
      </c>
    </row>
    <row r="3" spans="1:15">
      <c r="A3" s="3" t="s">
        <v>2204</v>
      </c>
      <c r="B3" s="409">
        <f>'BA-ESQ'!J42</f>
        <v>113.23529999999998</v>
      </c>
      <c r="C3" s="409">
        <f>'BA-ESQ'!K42</f>
        <v>0</v>
      </c>
      <c r="D3" s="409">
        <f>'BA-ESQ'!L42</f>
        <v>0</v>
      </c>
      <c r="E3" s="409">
        <f>'BA-ESQ'!M42</f>
        <v>0</v>
      </c>
      <c r="F3" s="409"/>
    </row>
    <row r="4" spans="1:15">
      <c r="A4" s="3" t="s">
        <v>2203</v>
      </c>
      <c r="B4" s="416">
        <f>'BA-ESQ'!H94</f>
        <v>637.68999999999994</v>
      </c>
      <c r="C4" s="416">
        <f>'BA-ESQ'!I94</f>
        <v>611.15</v>
      </c>
      <c r="D4" s="416">
        <f>'BA-ESQ'!J94</f>
        <v>0</v>
      </c>
      <c r="E4" s="416">
        <f>'BA-ESQ'!K94</f>
        <v>0</v>
      </c>
      <c r="F4" s="416">
        <f>'BA-ESQ'!L94</f>
        <v>26.54</v>
      </c>
    </row>
    <row r="5" spans="1:15">
      <c r="A5" t="s">
        <v>563</v>
      </c>
      <c r="B5" s="423">
        <f>TRUNC(SUM(B3:B4),2)</f>
        <v>750.92</v>
      </c>
      <c r="C5" s="423">
        <f>TRUNC(SUM(C3:C4),2)</f>
        <v>611.15</v>
      </c>
      <c r="D5" s="423">
        <f>TRUNC(SUM(D3:D4),2)</f>
        <v>0</v>
      </c>
      <c r="E5" s="423">
        <f>TRUNC(SUM(E3:E4),2)</f>
        <v>0</v>
      </c>
      <c r="F5" s="423">
        <f>TRUNC(SUM(F3:F4),2)</f>
        <v>26.54</v>
      </c>
    </row>
    <row r="12" spans="1:15" ht="20.25">
      <c r="A12" s="829" t="s">
        <v>2259</v>
      </c>
      <c r="B12" s="829"/>
      <c r="C12" s="829"/>
      <c r="D12" s="829"/>
      <c r="E12" s="829"/>
      <c r="F12" s="829"/>
      <c r="G12" s="829"/>
      <c r="H12" s="829"/>
      <c r="I12" s="829"/>
      <c r="J12" s="829"/>
      <c r="K12" s="829"/>
      <c r="L12" s="829"/>
      <c r="M12" s="829"/>
      <c r="N12" s="11"/>
    </row>
    <row r="13" spans="1:15" ht="78.75">
      <c r="A13" s="634" t="s">
        <v>2258</v>
      </c>
      <c r="B13" s="393" t="s">
        <v>100</v>
      </c>
      <c r="C13" s="393" t="s">
        <v>2062</v>
      </c>
      <c r="D13" s="393" t="s">
        <v>2061</v>
      </c>
      <c r="E13" s="393" t="s">
        <v>2059</v>
      </c>
      <c r="F13" s="393" t="s">
        <v>2169</v>
      </c>
      <c r="G13" s="393" t="s">
        <v>2168</v>
      </c>
      <c r="H13" s="394" t="s">
        <v>2167</v>
      </c>
      <c r="I13" s="393" t="s">
        <v>2069</v>
      </c>
      <c r="J13" s="394" t="s">
        <v>2058</v>
      </c>
      <c r="K13" s="394" t="s">
        <v>2057</v>
      </c>
      <c r="L13" s="394" t="s">
        <v>2056</v>
      </c>
      <c r="M13" s="394" t="s">
        <v>2055</v>
      </c>
      <c r="N13" s="394" t="s">
        <v>2069</v>
      </c>
      <c r="O13" s="394" t="s">
        <v>2165</v>
      </c>
    </row>
    <row r="14" spans="1:15">
      <c r="A14" s="634"/>
      <c r="B14" s="11" t="s">
        <v>2174</v>
      </c>
      <c r="C14" s="11">
        <v>0.8</v>
      </c>
      <c r="D14" s="11">
        <v>2.7</v>
      </c>
      <c r="E14" s="11">
        <v>121</v>
      </c>
      <c r="F14" s="11">
        <f>C14*0.57</f>
        <v>0.45599999999999996</v>
      </c>
      <c r="G14" s="11" t="s">
        <v>100</v>
      </c>
      <c r="H14" s="11" t="s">
        <v>100</v>
      </c>
      <c r="I14" s="11">
        <f>F14*E14</f>
        <v>55.175999999999995</v>
      </c>
      <c r="J14" s="11">
        <f t="shared" ref="J14:J31" si="0">I14</f>
        <v>55.175999999999995</v>
      </c>
      <c r="K14" s="11" t="s">
        <v>100</v>
      </c>
      <c r="L14" s="11" t="s">
        <v>100</v>
      </c>
      <c r="M14" s="11" t="s">
        <v>100</v>
      </c>
      <c r="N14" s="11">
        <f t="shared" ref="N14:N31" si="1">SUM(J14:M14)</f>
        <v>55.175999999999995</v>
      </c>
    </row>
    <row r="15" spans="1:15">
      <c r="A15" s="634"/>
      <c r="B15" s="11" t="s">
        <v>2173</v>
      </c>
      <c r="C15" s="11">
        <v>1.2</v>
      </c>
      <c r="D15" s="11">
        <v>2.7</v>
      </c>
      <c r="E15" s="11">
        <v>14</v>
      </c>
      <c r="F15" s="11">
        <f>C15*0.57</f>
        <v>0.68399999999999994</v>
      </c>
      <c r="G15" s="11">
        <f>0.35*0.35*2</f>
        <v>0.24499999999999997</v>
      </c>
      <c r="H15" s="11" t="s">
        <v>100</v>
      </c>
      <c r="I15" s="11">
        <f>(F15+G15)*E15</f>
        <v>13.005999999999998</v>
      </c>
      <c r="J15" s="11">
        <f t="shared" si="0"/>
        <v>13.005999999999998</v>
      </c>
      <c r="K15" s="11" t="s">
        <v>100</v>
      </c>
      <c r="L15" s="11" t="s">
        <v>100</v>
      </c>
      <c r="M15" s="11" t="s">
        <v>100</v>
      </c>
      <c r="N15" s="11">
        <f t="shared" si="1"/>
        <v>13.005999999999998</v>
      </c>
      <c r="O15" t="s">
        <v>2257</v>
      </c>
    </row>
    <row r="16" spans="1:15">
      <c r="A16" s="634"/>
      <c r="B16" s="11" t="s">
        <v>2170</v>
      </c>
      <c r="C16" s="11">
        <v>1.6</v>
      </c>
      <c r="D16" s="11">
        <v>2.7</v>
      </c>
      <c r="E16" s="11">
        <v>1</v>
      </c>
      <c r="F16" s="11">
        <f>C16*0.57</f>
        <v>0.91199999999999992</v>
      </c>
      <c r="G16" s="11">
        <f>0.35*0.35*2</f>
        <v>0.24499999999999997</v>
      </c>
      <c r="H16" s="11" t="s">
        <v>100</v>
      </c>
      <c r="I16" s="11">
        <f>(F16+G16)*E16</f>
        <v>1.1569999999999998</v>
      </c>
      <c r="J16" s="11">
        <f t="shared" si="0"/>
        <v>1.1569999999999998</v>
      </c>
      <c r="K16" s="11" t="s">
        <v>100</v>
      </c>
      <c r="L16" s="11" t="s">
        <v>100</v>
      </c>
      <c r="M16" s="11" t="s">
        <v>100</v>
      </c>
      <c r="N16" s="11">
        <f t="shared" si="1"/>
        <v>1.1569999999999998</v>
      </c>
    </row>
    <row r="17" spans="1:15">
      <c r="A17" s="634"/>
      <c r="B17" s="11" t="s">
        <v>2256</v>
      </c>
      <c r="C17" s="11">
        <v>1.7</v>
      </c>
      <c r="D17" s="11">
        <v>2.7</v>
      </c>
      <c r="E17" s="11">
        <v>6</v>
      </c>
      <c r="F17" s="11">
        <f>0.37*0.37</f>
        <v>0.13689999999999999</v>
      </c>
      <c r="G17" s="11">
        <f>0.1087*12</f>
        <v>1.3044</v>
      </c>
      <c r="H17" s="11" t="s">
        <v>100</v>
      </c>
      <c r="I17" s="11">
        <f>(F17+G17)*E17</f>
        <v>8.6478000000000002</v>
      </c>
      <c r="J17" s="11">
        <f t="shared" si="0"/>
        <v>8.6478000000000002</v>
      </c>
      <c r="K17" s="11" t="s">
        <v>100</v>
      </c>
      <c r="L17" s="11" t="s">
        <v>100</v>
      </c>
      <c r="M17" s="11" t="s">
        <v>100</v>
      </c>
      <c r="N17" s="11">
        <f t="shared" si="1"/>
        <v>8.6478000000000002</v>
      </c>
      <c r="O17" t="s">
        <v>2255</v>
      </c>
    </row>
    <row r="18" spans="1:15">
      <c r="A18" s="634"/>
      <c r="B18" s="11" t="s">
        <v>2254</v>
      </c>
      <c r="C18" s="11">
        <v>0.6</v>
      </c>
      <c r="D18" s="11">
        <v>2.7</v>
      </c>
      <c r="E18" s="11">
        <v>30</v>
      </c>
      <c r="F18" s="11">
        <v>0</v>
      </c>
      <c r="G18" s="11" t="s">
        <v>100</v>
      </c>
      <c r="H18" s="11" t="s">
        <v>100</v>
      </c>
      <c r="I18" s="11">
        <f t="shared" ref="I18:I25" si="2">F18*E18</f>
        <v>0</v>
      </c>
      <c r="J18" s="11">
        <f t="shared" si="0"/>
        <v>0</v>
      </c>
      <c r="K18" s="11" t="s">
        <v>100</v>
      </c>
      <c r="L18" s="11" t="s">
        <v>100</v>
      </c>
      <c r="M18" s="11" t="s">
        <v>100</v>
      </c>
      <c r="N18" s="11">
        <f t="shared" si="1"/>
        <v>0</v>
      </c>
    </row>
    <row r="19" spans="1:15">
      <c r="A19" s="634"/>
      <c r="B19" s="11" t="s">
        <v>2245</v>
      </c>
      <c r="C19" s="11">
        <v>0.7</v>
      </c>
      <c r="D19" s="11">
        <v>2.7</v>
      </c>
      <c r="E19" s="11">
        <v>23</v>
      </c>
      <c r="F19" s="11">
        <v>0</v>
      </c>
      <c r="G19" s="11" t="s">
        <v>100</v>
      </c>
      <c r="H19" s="11" t="s">
        <v>100</v>
      </c>
      <c r="I19" s="11">
        <f t="shared" si="2"/>
        <v>0</v>
      </c>
      <c r="J19" s="11">
        <f t="shared" si="0"/>
        <v>0</v>
      </c>
      <c r="K19" s="11" t="s">
        <v>100</v>
      </c>
      <c r="L19" s="11" t="s">
        <v>100</v>
      </c>
      <c r="M19" s="11" t="s">
        <v>100</v>
      </c>
      <c r="N19" s="11">
        <f t="shared" si="1"/>
        <v>0</v>
      </c>
    </row>
    <row r="20" spans="1:15">
      <c r="A20" s="634"/>
      <c r="B20" s="11" t="s">
        <v>2244</v>
      </c>
      <c r="C20" s="11">
        <v>1</v>
      </c>
      <c r="D20" s="11">
        <v>2.7</v>
      </c>
      <c r="E20" s="11">
        <v>3</v>
      </c>
      <c r="F20" s="11">
        <f>C20*0.57</f>
        <v>0.56999999999999995</v>
      </c>
      <c r="G20" s="11" t="s">
        <v>100</v>
      </c>
      <c r="H20" s="11" t="s">
        <v>100</v>
      </c>
      <c r="I20" s="11">
        <f t="shared" si="2"/>
        <v>1.71</v>
      </c>
      <c r="J20" s="11">
        <f t="shared" si="0"/>
        <v>1.71</v>
      </c>
      <c r="K20" s="11" t="s">
        <v>100</v>
      </c>
      <c r="L20" s="11" t="s">
        <v>100</v>
      </c>
      <c r="M20" s="11" t="s">
        <v>100</v>
      </c>
      <c r="N20" s="11">
        <f t="shared" si="1"/>
        <v>1.71</v>
      </c>
    </row>
    <row r="21" spans="1:15">
      <c r="A21" s="634"/>
      <c r="B21" s="11" t="s">
        <v>2243</v>
      </c>
      <c r="C21" s="11">
        <v>1.25</v>
      </c>
      <c r="D21" s="11">
        <v>2.7</v>
      </c>
      <c r="E21" s="11">
        <v>2</v>
      </c>
      <c r="F21" s="11">
        <v>0</v>
      </c>
      <c r="G21" s="11" t="s">
        <v>100</v>
      </c>
      <c r="H21" s="11" t="s">
        <v>100</v>
      </c>
      <c r="I21" s="11">
        <f t="shared" si="2"/>
        <v>0</v>
      </c>
      <c r="J21" s="11">
        <f t="shared" si="0"/>
        <v>0</v>
      </c>
      <c r="K21" s="11" t="s">
        <v>100</v>
      </c>
      <c r="L21" s="11" t="s">
        <v>100</v>
      </c>
      <c r="M21" s="11" t="s">
        <v>100</v>
      </c>
      <c r="N21" s="11">
        <f t="shared" si="1"/>
        <v>0</v>
      </c>
    </row>
    <row r="22" spans="1:15">
      <c r="A22" s="634"/>
      <c r="B22" s="11" t="s">
        <v>2242</v>
      </c>
      <c r="C22" s="11">
        <v>1.4</v>
      </c>
      <c r="D22" s="11">
        <v>2.7</v>
      </c>
      <c r="E22" s="11">
        <v>4</v>
      </c>
      <c r="F22" s="11">
        <v>0</v>
      </c>
      <c r="G22" s="11" t="s">
        <v>100</v>
      </c>
      <c r="H22" s="11" t="s">
        <v>100</v>
      </c>
      <c r="I22" s="11">
        <f t="shared" si="2"/>
        <v>0</v>
      </c>
      <c r="J22" s="11">
        <f t="shared" si="0"/>
        <v>0</v>
      </c>
      <c r="K22" s="11" t="s">
        <v>100</v>
      </c>
      <c r="L22" s="11" t="s">
        <v>100</v>
      </c>
      <c r="M22" s="11" t="s">
        <v>100</v>
      </c>
      <c r="N22" s="11">
        <f t="shared" si="1"/>
        <v>0</v>
      </c>
    </row>
    <row r="23" spans="1:15">
      <c r="A23" s="634"/>
      <c r="B23" s="11" t="s">
        <v>2117</v>
      </c>
      <c r="C23" s="11">
        <v>1.65</v>
      </c>
      <c r="D23" s="11">
        <v>2.7</v>
      </c>
      <c r="E23" s="11">
        <v>3</v>
      </c>
      <c r="F23" s="11">
        <f>C23*0.57</f>
        <v>0.94049999999999989</v>
      </c>
      <c r="G23" s="11" t="s">
        <v>100</v>
      </c>
      <c r="H23" s="11" t="s">
        <v>100</v>
      </c>
      <c r="I23" s="11">
        <f t="shared" si="2"/>
        <v>2.8214999999999995</v>
      </c>
      <c r="J23" s="11">
        <f t="shared" si="0"/>
        <v>2.8214999999999995</v>
      </c>
      <c r="K23" s="11" t="s">
        <v>100</v>
      </c>
      <c r="L23" s="11" t="s">
        <v>100</v>
      </c>
      <c r="M23" s="11" t="s">
        <v>100</v>
      </c>
      <c r="N23" s="11">
        <f t="shared" si="1"/>
        <v>2.8214999999999995</v>
      </c>
    </row>
    <row r="24" spans="1:15">
      <c r="A24" s="634"/>
      <c r="B24" s="11" t="s">
        <v>2253</v>
      </c>
      <c r="C24" s="11">
        <v>1.45</v>
      </c>
      <c r="D24" s="11">
        <v>2.7</v>
      </c>
      <c r="E24" s="11">
        <v>1</v>
      </c>
      <c r="F24" s="11">
        <v>0</v>
      </c>
      <c r="G24" s="11" t="s">
        <v>100</v>
      </c>
      <c r="H24" s="11" t="s">
        <v>100</v>
      </c>
      <c r="I24" s="11">
        <f t="shared" si="2"/>
        <v>0</v>
      </c>
      <c r="J24" s="11">
        <f t="shared" si="0"/>
        <v>0</v>
      </c>
      <c r="K24" s="11" t="s">
        <v>100</v>
      </c>
      <c r="L24" s="11" t="s">
        <v>100</v>
      </c>
      <c r="M24" s="11" t="s">
        <v>100</v>
      </c>
      <c r="N24" s="11">
        <f t="shared" si="1"/>
        <v>0</v>
      </c>
    </row>
    <row r="25" spans="1:15">
      <c r="A25" s="634"/>
      <c r="B25" s="11" t="s">
        <v>2252</v>
      </c>
      <c r="C25" s="11">
        <v>0.75</v>
      </c>
      <c r="D25" s="11">
        <v>2.7</v>
      </c>
      <c r="E25" s="11">
        <v>1</v>
      </c>
      <c r="F25" s="11">
        <v>0</v>
      </c>
      <c r="G25" s="11" t="s">
        <v>100</v>
      </c>
      <c r="H25" s="11" t="s">
        <v>100</v>
      </c>
      <c r="I25" s="11">
        <f t="shared" si="2"/>
        <v>0</v>
      </c>
      <c r="J25" s="11">
        <f t="shared" si="0"/>
        <v>0</v>
      </c>
      <c r="K25" s="11" t="s">
        <v>100</v>
      </c>
      <c r="L25" s="11" t="s">
        <v>100</v>
      </c>
      <c r="M25" s="11" t="s">
        <v>100</v>
      </c>
      <c r="N25" s="11">
        <f t="shared" si="1"/>
        <v>0</v>
      </c>
    </row>
    <row r="26" spans="1:15">
      <c r="A26" s="634"/>
      <c r="B26" s="11" t="s">
        <v>2251</v>
      </c>
      <c r="C26" s="11">
        <v>2</v>
      </c>
      <c r="D26" s="11">
        <v>2.7</v>
      </c>
      <c r="E26" s="11">
        <v>7</v>
      </c>
      <c r="F26" s="11">
        <f>C26*0.57</f>
        <v>1.1399999999999999</v>
      </c>
      <c r="G26" s="11">
        <f>0.35*0.35*2</f>
        <v>0.24499999999999997</v>
      </c>
      <c r="H26" s="11" t="s">
        <v>100</v>
      </c>
      <c r="I26" s="11">
        <f>(G26+F26)*E26</f>
        <v>9.6949999999999985</v>
      </c>
      <c r="J26" s="11">
        <f t="shared" si="0"/>
        <v>9.6949999999999985</v>
      </c>
      <c r="K26" s="11" t="s">
        <v>100</v>
      </c>
      <c r="L26" s="11" t="s">
        <v>100</v>
      </c>
      <c r="M26" s="11" t="s">
        <v>100</v>
      </c>
      <c r="N26" s="11">
        <f t="shared" si="1"/>
        <v>9.6949999999999985</v>
      </c>
    </row>
    <row r="27" spans="1:15">
      <c r="A27" s="634"/>
      <c r="B27" s="11" t="s">
        <v>2250</v>
      </c>
      <c r="C27" s="11">
        <v>0.9</v>
      </c>
      <c r="D27" s="11">
        <v>2.7</v>
      </c>
      <c r="E27" s="11">
        <v>1</v>
      </c>
      <c r="F27" s="11">
        <v>0</v>
      </c>
      <c r="G27" s="11" t="s">
        <v>100</v>
      </c>
      <c r="H27" s="11" t="s">
        <v>100</v>
      </c>
      <c r="I27" s="11">
        <f>F27*E27</f>
        <v>0</v>
      </c>
      <c r="J27" s="11">
        <f t="shared" si="0"/>
        <v>0</v>
      </c>
      <c r="K27" s="11" t="s">
        <v>100</v>
      </c>
      <c r="L27" s="11" t="s">
        <v>100</v>
      </c>
      <c r="M27" s="11" t="s">
        <v>100</v>
      </c>
      <c r="N27" s="11">
        <f t="shared" si="1"/>
        <v>0</v>
      </c>
    </row>
    <row r="28" spans="1:15">
      <c r="A28" s="634"/>
      <c r="B28" s="11" t="s">
        <v>2249</v>
      </c>
      <c r="C28" s="11">
        <v>1.6</v>
      </c>
      <c r="D28" s="11">
        <v>2.7</v>
      </c>
      <c r="E28" s="11">
        <v>3</v>
      </c>
      <c r="F28" s="11">
        <f>C28*0.57</f>
        <v>0.91199999999999992</v>
      </c>
      <c r="G28" s="11" t="s">
        <v>100</v>
      </c>
      <c r="H28" s="11" t="s">
        <v>100</v>
      </c>
      <c r="I28" s="11">
        <f>F28*E28</f>
        <v>2.7359999999999998</v>
      </c>
      <c r="J28" s="11">
        <f t="shared" si="0"/>
        <v>2.7359999999999998</v>
      </c>
      <c r="K28" s="11" t="s">
        <v>100</v>
      </c>
      <c r="L28" s="11" t="s">
        <v>100</v>
      </c>
      <c r="M28" s="11" t="s">
        <v>100</v>
      </c>
      <c r="N28" s="11">
        <f t="shared" si="1"/>
        <v>2.7359999999999998</v>
      </c>
    </row>
    <row r="29" spans="1:15">
      <c r="A29" s="634"/>
      <c r="B29" s="11" t="s">
        <v>2248</v>
      </c>
      <c r="C29" s="11">
        <v>1</v>
      </c>
      <c r="D29" s="11">
        <v>2.7</v>
      </c>
      <c r="E29" s="11">
        <v>2</v>
      </c>
      <c r="F29" s="11">
        <v>0</v>
      </c>
      <c r="G29" s="11" t="s">
        <v>100</v>
      </c>
      <c r="H29" s="11" t="s">
        <v>100</v>
      </c>
      <c r="I29" s="11">
        <f>F29*E29</f>
        <v>0</v>
      </c>
      <c r="J29" s="11">
        <f t="shared" si="0"/>
        <v>0</v>
      </c>
      <c r="K29" s="11" t="s">
        <v>100</v>
      </c>
      <c r="L29" s="11" t="s">
        <v>100</v>
      </c>
      <c r="M29" s="11" t="s">
        <v>100</v>
      </c>
      <c r="N29" s="11">
        <f t="shared" si="1"/>
        <v>0</v>
      </c>
    </row>
    <row r="30" spans="1:15">
      <c r="A30" s="634"/>
      <c r="B30" s="11" t="s">
        <v>2247</v>
      </c>
      <c r="C30" s="11">
        <v>1.65</v>
      </c>
      <c r="D30" s="11">
        <v>2.7</v>
      </c>
      <c r="E30" s="11">
        <v>2</v>
      </c>
      <c r="F30" s="11">
        <f>C30*0.57</f>
        <v>0.94049999999999989</v>
      </c>
      <c r="G30" s="11" t="s">
        <v>100</v>
      </c>
      <c r="H30" s="11" t="s">
        <v>100</v>
      </c>
      <c r="I30" s="11">
        <f>F30*E30</f>
        <v>1.8809999999999998</v>
      </c>
      <c r="J30" s="11">
        <f t="shared" si="0"/>
        <v>1.8809999999999998</v>
      </c>
      <c r="K30" s="11" t="s">
        <v>100</v>
      </c>
      <c r="L30" s="11" t="s">
        <v>100</v>
      </c>
      <c r="M30" s="11" t="s">
        <v>100</v>
      </c>
      <c r="N30" s="11">
        <f t="shared" si="1"/>
        <v>1.8809999999999998</v>
      </c>
    </row>
    <row r="31" spans="1:15">
      <c r="A31" s="634"/>
      <c r="B31" s="11" t="s">
        <v>2246</v>
      </c>
      <c r="C31" s="11">
        <v>1.65</v>
      </c>
      <c r="D31" s="11">
        <v>2.7</v>
      </c>
      <c r="E31" s="11">
        <v>2</v>
      </c>
      <c r="F31" s="11">
        <f>C31*0.15</f>
        <v>0.24749999999999997</v>
      </c>
      <c r="G31" s="11" t="s">
        <v>100</v>
      </c>
      <c r="H31" s="11" t="s">
        <v>100</v>
      </c>
      <c r="I31" s="11">
        <f>F31*E31</f>
        <v>0.49499999999999994</v>
      </c>
      <c r="J31" s="11">
        <f t="shared" si="0"/>
        <v>0.49499999999999994</v>
      </c>
      <c r="K31" s="11" t="s">
        <v>100</v>
      </c>
      <c r="L31" s="11" t="s">
        <v>100</v>
      </c>
      <c r="M31" s="11" t="s">
        <v>100</v>
      </c>
      <c r="N31" s="11">
        <f t="shared" si="1"/>
        <v>0.49499999999999994</v>
      </c>
    </row>
    <row r="32" spans="1:15">
      <c r="A32" s="3" t="s">
        <v>1529</v>
      </c>
      <c r="B32" s="11"/>
      <c r="C32" s="11"/>
      <c r="D32" s="11"/>
      <c r="E32" s="11"/>
      <c r="F32" s="11"/>
      <c r="G32" s="11"/>
      <c r="H32" s="11"/>
      <c r="I32" s="11"/>
      <c r="J32" s="11"/>
      <c r="K32" s="11"/>
      <c r="L32" s="11"/>
      <c r="M32" s="11"/>
      <c r="N32" s="11"/>
    </row>
    <row r="33" spans="1:15">
      <c r="A33" s="3" t="s">
        <v>1529</v>
      </c>
      <c r="B33" s="11" t="s">
        <v>2245</v>
      </c>
      <c r="C33" s="11">
        <v>2.0099999999999998</v>
      </c>
      <c r="D33" s="11">
        <v>2.56</v>
      </c>
      <c r="E33" s="11">
        <v>1</v>
      </c>
      <c r="F33" s="11"/>
      <c r="G33" s="11"/>
      <c r="H33" s="11">
        <f>TRUNC(C33*D33-E33,2)</f>
        <v>4.1399999999999997</v>
      </c>
      <c r="I33" s="11"/>
      <c r="J33" s="11">
        <f>H33</f>
        <v>4.1399999999999997</v>
      </c>
      <c r="K33" s="11"/>
      <c r="L33" s="11"/>
      <c r="M33" s="11"/>
      <c r="N33" s="11"/>
    </row>
    <row r="34" spans="1:15">
      <c r="A34" s="3" t="s">
        <v>1529</v>
      </c>
      <c r="B34" s="11" t="s">
        <v>2244</v>
      </c>
      <c r="C34" s="11">
        <v>1.78</v>
      </c>
      <c r="D34" s="11">
        <v>2.11</v>
      </c>
      <c r="E34" s="11">
        <v>1</v>
      </c>
      <c r="F34" s="11"/>
      <c r="G34" s="11"/>
      <c r="H34" s="11">
        <f>TRUNC(C34*D34-E34,2)</f>
        <v>2.75</v>
      </c>
      <c r="I34" s="11"/>
      <c r="J34" s="11">
        <f>H34</f>
        <v>2.75</v>
      </c>
      <c r="K34" s="11"/>
      <c r="L34" s="11"/>
      <c r="M34" s="11"/>
      <c r="N34" s="11"/>
    </row>
    <row r="35" spans="1:15">
      <c r="A35" s="3" t="s">
        <v>1529</v>
      </c>
      <c r="B35" s="11" t="s">
        <v>2243</v>
      </c>
      <c r="C35" s="11">
        <v>1.94</v>
      </c>
      <c r="D35" s="11">
        <v>2.11</v>
      </c>
      <c r="E35" s="11">
        <v>1</v>
      </c>
      <c r="F35" s="11"/>
      <c r="G35" s="11"/>
      <c r="H35" s="11">
        <f>TRUNC(C35*D35-E35,2)</f>
        <v>3.09</v>
      </c>
      <c r="I35" s="11"/>
      <c r="J35" s="11">
        <f>H35</f>
        <v>3.09</v>
      </c>
      <c r="K35" s="11"/>
      <c r="L35" s="11"/>
      <c r="M35" s="11"/>
      <c r="N35" s="11"/>
    </row>
    <row r="36" spans="1:15">
      <c r="A36" s="3" t="s">
        <v>1529</v>
      </c>
      <c r="B36" s="11" t="s">
        <v>2242</v>
      </c>
      <c r="C36" s="11">
        <v>1.93</v>
      </c>
      <c r="D36" s="11">
        <v>2.59</v>
      </c>
      <c r="E36" s="11">
        <v>2</v>
      </c>
      <c r="F36" s="11"/>
      <c r="G36" s="11"/>
      <c r="H36" s="11">
        <f>TRUNC(C36*D36-E36,2)</f>
        <v>2.99</v>
      </c>
      <c r="I36" s="11"/>
      <c r="J36" s="11">
        <f>H36</f>
        <v>2.99</v>
      </c>
      <c r="K36" s="11"/>
      <c r="L36" s="11"/>
      <c r="M36" s="11"/>
      <c r="N36" s="11"/>
    </row>
    <row r="37" spans="1:15">
      <c r="A37" s="3" t="s">
        <v>1529</v>
      </c>
      <c r="B37" s="11" t="s">
        <v>2117</v>
      </c>
      <c r="C37" s="11">
        <v>1.81</v>
      </c>
      <c r="D37" s="11">
        <v>2.1800000000000002</v>
      </c>
      <c r="E37" s="11">
        <v>1</v>
      </c>
      <c r="F37" s="11"/>
      <c r="G37" s="11"/>
      <c r="H37" s="11">
        <f>TRUNC(C37*D37-E37,2)</f>
        <v>2.94</v>
      </c>
      <c r="I37" s="11"/>
      <c r="J37" s="11">
        <f>H37</f>
        <v>2.94</v>
      </c>
      <c r="K37" s="11"/>
      <c r="L37" s="11"/>
      <c r="M37" s="11"/>
      <c r="N37" s="11"/>
    </row>
    <row r="38" spans="1:15">
      <c r="A38" s="3"/>
      <c r="B38" s="11"/>
      <c r="C38" s="11"/>
      <c r="D38" s="11"/>
      <c r="E38" s="11"/>
      <c r="F38" s="11"/>
      <c r="G38" s="11"/>
      <c r="H38" s="11"/>
      <c r="I38" s="11"/>
      <c r="J38" s="11"/>
      <c r="K38" s="11"/>
      <c r="L38" s="11"/>
      <c r="M38" s="11"/>
      <c r="N38" s="11"/>
    </row>
    <row r="39" spans="1:15">
      <c r="A39" s="3"/>
      <c r="B39" s="11"/>
      <c r="C39" s="11"/>
      <c r="D39" s="11"/>
      <c r="E39" s="11"/>
      <c r="F39" s="11"/>
      <c r="G39" s="11"/>
      <c r="H39" s="11"/>
      <c r="I39" s="11"/>
      <c r="J39" s="11"/>
      <c r="K39" s="11"/>
      <c r="L39" s="11"/>
      <c r="M39" s="11"/>
      <c r="N39" s="11"/>
    </row>
    <row r="40" spans="1:15">
      <c r="A40" s="3"/>
      <c r="B40" s="11"/>
      <c r="C40" s="11"/>
      <c r="D40" s="11"/>
      <c r="E40" s="11"/>
      <c r="F40" s="11"/>
      <c r="G40" s="11"/>
      <c r="H40" s="11"/>
      <c r="I40" s="11"/>
      <c r="J40" s="11"/>
      <c r="K40" s="11"/>
      <c r="L40" s="11"/>
      <c r="M40" s="11"/>
      <c r="N40" s="11"/>
    </row>
    <row r="41" spans="1:15" ht="78.75">
      <c r="A41" s="409" t="s">
        <v>563</v>
      </c>
      <c r="B41" s="396" t="s">
        <v>100</v>
      </c>
      <c r="C41" s="396" t="s">
        <v>2062</v>
      </c>
      <c r="D41" s="396" t="s">
        <v>2061</v>
      </c>
      <c r="E41" s="396" t="s">
        <v>2059</v>
      </c>
      <c r="F41" s="396" t="s">
        <v>2169</v>
      </c>
      <c r="G41" s="396" t="s">
        <v>2168</v>
      </c>
      <c r="H41" s="395" t="s">
        <v>2167</v>
      </c>
      <c r="I41" s="396" t="s">
        <v>2069</v>
      </c>
      <c r="J41" s="395" t="s">
        <v>2058</v>
      </c>
      <c r="K41" s="395" t="s">
        <v>2057</v>
      </c>
      <c r="L41" s="395" t="s">
        <v>2056</v>
      </c>
      <c r="M41" s="395" t="s">
        <v>2055</v>
      </c>
      <c r="N41" s="395" t="s">
        <v>2069</v>
      </c>
      <c r="O41" s="395" t="s">
        <v>2165</v>
      </c>
    </row>
    <row r="42" spans="1:15">
      <c r="A42" s="392"/>
      <c r="B42" s="409"/>
      <c r="C42" s="409" t="s">
        <v>100</v>
      </c>
      <c r="D42" s="409" t="s">
        <v>100</v>
      </c>
      <c r="E42" s="409">
        <f t="shared" ref="E42:N42" si="3">SUM(E14:E40)</f>
        <v>232</v>
      </c>
      <c r="F42" s="409">
        <f t="shared" si="3"/>
        <v>6.9393999999999982</v>
      </c>
      <c r="G42" s="409">
        <f t="shared" si="3"/>
        <v>2.0394000000000001</v>
      </c>
      <c r="H42" s="409">
        <f t="shared" si="3"/>
        <v>15.91</v>
      </c>
      <c r="I42" s="409">
        <f t="shared" si="3"/>
        <v>97.325299999999984</v>
      </c>
      <c r="J42" s="409">
        <f t="shared" si="3"/>
        <v>113.23529999999998</v>
      </c>
      <c r="K42" s="409">
        <f t="shared" si="3"/>
        <v>0</v>
      </c>
      <c r="L42" s="409">
        <f t="shared" si="3"/>
        <v>0</v>
      </c>
      <c r="M42" s="409">
        <f t="shared" si="3"/>
        <v>0</v>
      </c>
      <c r="N42" s="409">
        <f t="shared" si="3"/>
        <v>97.325299999999984</v>
      </c>
      <c r="O42" s="409"/>
    </row>
    <row r="47" spans="1:15" ht="20.25">
      <c r="A47" s="829" t="s">
        <v>2241</v>
      </c>
      <c r="B47" s="829"/>
      <c r="C47" s="829"/>
      <c r="D47" s="829"/>
      <c r="E47" s="829"/>
      <c r="F47" s="829"/>
      <c r="G47" s="829"/>
      <c r="H47" s="829"/>
      <c r="I47" s="829"/>
      <c r="J47" s="829"/>
      <c r="K47" s="829"/>
      <c r="L47" s="829"/>
      <c r="M47" s="829"/>
    </row>
    <row r="48" spans="1:15" ht="78.75">
      <c r="A48" s="634" t="s">
        <v>2207</v>
      </c>
      <c r="B48" s="393" t="s">
        <v>100</v>
      </c>
      <c r="C48" s="393" t="s">
        <v>2062</v>
      </c>
      <c r="D48" s="393" t="s">
        <v>2061</v>
      </c>
      <c r="E48" s="393" t="s">
        <v>2060</v>
      </c>
      <c r="F48" s="393" t="s">
        <v>2059</v>
      </c>
      <c r="G48" s="393" t="s">
        <v>2054</v>
      </c>
      <c r="H48" s="394" t="s">
        <v>2058</v>
      </c>
      <c r="I48" s="394" t="s">
        <v>2057</v>
      </c>
      <c r="J48" s="394" t="s">
        <v>2056</v>
      </c>
      <c r="K48" s="394" t="s">
        <v>2055</v>
      </c>
      <c r="L48" s="394"/>
      <c r="M48" s="394" t="s">
        <v>2054</v>
      </c>
    </row>
    <row r="49" spans="1:13">
      <c r="A49" s="634"/>
      <c r="B49" s="11" t="s">
        <v>2240</v>
      </c>
      <c r="C49" s="11">
        <v>2.4</v>
      </c>
      <c r="D49" s="11">
        <v>1.7</v>
      </c>
      <c r="E49" s="11">
        <f t="shared" ref="E49:E77" si="4">C49*D49</f>
        <v>4.08</v>
      </c>
      <c r="F49" s="11">
        <v>1</v>
      </c>
      <c r="G49" s="11">
        <f t="shared" ref="G49:G77" si="5">E49*F49</f>
        <v>4.08</v>
      </c>
      <c r="H49" s="11">
        <f t="shared" ref="H49:I77" si="6">G49</f>
        <v>4.08</v>
      </c>
      <c r="I49" s="11">
        <f t="shared" si="6"/>
        <v>4.08</v>
      </c>
      <c r="J49" s="11" t="s">
        <v>100</v>
      </c>
      <c r="K49" s="11" t="s">
        <v>100</v>
      </c>
      <c r="L49" s="11"/>
      <c r="M49" s="11">
        <f t="shared" ref="M49:M77" si="7">SUM(H49:K49)</f>
        <v>8.16</v>
      </c>
    </row>
    <row r="50" spans="1:13">
      <c r="A50" s="634"/>
      <c r="B50" s="11" t="s">
        <v>2239</v>
      </c>
      <c r="C50" s="11">
        <v>2.2000000000000002</v>
      </c>
      <c r="D50" s="11">
        <v>1.7</v>
      </c>
      <c r="E50" s="11">
        <f t="shared" si="4"/>
        <v>3.74</v>
      </c>
      <c r="F50" s="11">
        <v>11</v>
      </c>
      <c r="G50" s="11">
        <f t="shared" si="5"/>
        <v>41.14</v>
      </c>
      <c r="H50" s="11">
        <f t="shared" si="6"/>
        <v>41.14</v>
      </c>
      <c r="I50" s="11">
        <f t="shared" si="6"/>
        <v>41.14</v>
      </c>
      <c r="J50" s="11" t="s">
        <v>100</v>
      </c>
      <c r="K50" s="11" t="s">
        <v>100</v>
      </c>
      <c r="L50" s="11"/>
      <c r="M50" s="11">
        <f t="shared" si="7"/>
        <v>82.28</v>
      </c>
    </row>
    <row r="51" spans="1:13">
      <c r="A51" s="634"/>
      <c r="B51" s="11" t="s">
        <v>2238</v>
      </c>
      <c r="C51" s="11">
        <v>1.8</v>
      </c>
      <c r="D51" s="11">
        <v>1.7</v>
      </c>
      <c r="E51" s="11">
        <f t="shared" si="4"/>
        <v>3.06</v>
      </c>
      <c r="F51" s="11">
        <v>58</v>
      </c>
      <c r="G51" s="11">
        <f t="shared" si="5"/>
        <v>177.48</v>
      </c>
      <c r="H51" s="11">
        <f t="shared" si="6"/>
        <v>177.48</v>
      </c>
      <c r="I51" s="11">
        <f t="shared" si="6"/>
        <v>177.48</v>
      </c>
      <c r="J51" s="11" t="s">
        <v>100</v>
      </c>
      <c r="K51" s="11" t="s">
        <v>100</v>
      </c>
      <c r="L51" s="11"/>
      <c r="M51" s="11">
        <f t="shared" si="7"/>
        <v>354.96</v>
      </c>
    </row>
    <row r="52" spans="1:13">
      <c r="A52" s="634"/>
      <c r="B52" s="11" t="s">
        <v>2237</v>
      </c>
      <c r="C52" s="11">
        <v>1.7</v>
      </c>
      <c r="D52" s="11">
        <v>1.7</v>
      </c>
      <c r="E52" s="11">
        <f t="shared" si="4"/>
        <v>2.8899999999999997</v>
      </c>
      <c r="F52" s="11">
        <v>13</v>
      </c>
      <c r="G52" s="11">
        <f t="shared" si="5"/>
        <v>37.569999999999993</v>
      </c>
      <c r="H52" s="11">
        <f t="shared" si="6"/>
        <v>37.569999999999993</v>
      </c>
      <c r="I52" s="11">
        <f t="shared" si="6"/>
        <v>37.569999999999993</v>
      </c>
      <c r="J52" s="11" t="s">
        <v>100</v>
      </c>
      <c r="K52" s="11" t="s">
        <v>100</v>
      </c>
      <c r="L52" s="11"/>
      <c r="M52" s="11">
        <f t="shared" si="7"/>
        <v>75.139999999999986</v>
      </c>
    </row>
    <row r="53" spans="1:13">
      <c r="A53" s="634"/>
      <c r="B53" s="11" t="s">
        <v>2236</v>
      </c>
      <c r="C53" s="11">
        <v>1.6</v>
      </c>
      <c r="D53" s="11">
        <v>1.7</v>
      </c>
      <c r="E53" s="11">
        <f t="shared" si="4"/>
        <v>2.72</v>
      </c>
      <c r="F53" s="11">
        <v>11</v>
      </c>
      <c r="G53" s="11">
        <f t="shared" si="5"/>
        <v>29.92</v>
      </c>
      <c r="H53" s="11">
        <f t="shared" si="6"/>
        <v>29.92</v>
      </c>
      <c r="I53" s="11">
        <f t="shared" si="6"/>
        <v>29.92</v>
      </c>
      <c r="J53" s="11" t="s">
        <v>100</v>
      </c>
      <c r="K53" s="11" t="s">
        <v>100</v>
      </c>
      <c r="L53" s="11"/>
      <c r="M53" s="11">
        <f t="shared" si="7"/>
        <v>59.84</v>
      </c>
    </row>
    <row r="54" spans="1:13">
      <c r="A54" s="634"/>
      <c r="B54" s="11" t="s">
        <v>2235</v>
      </c>
      <c r="C54" s="11">
        <v>1.4</v>
      </c>
      <c r="D54" s="11">
        <v>1.7</v>
      </c>
      <c r="E54" s="11">
        <f t="shared" si="4"/>
        <v>2.38</v>
      </c>
      <c r="F54" s="11">
        <v>9</v>
      </c>
      <c r="G54" s="11">
        <f t="shared" si="5"/>
        <v>21.419999999999998</v>
      </c>
      <c r="H54" s="11">
        <f t="shared" si="6"/>
        <v>21.419999999999998</v>
      </c>
      <c r="I54" s="11">
        <f t="shared" si="6"/>
        <v>21.419999999999998</v>
      </c>
      <c r="J54" s="11" t="s">
        <v>100</v>
      </c>
      <c r="K54" s="11" t="s">
        <v>100</v>
      </c>
      <c r="L54" s="11"/>
      <c r="M54" s="422">
        <f t="shared" si="7"/>
        <v>42.839999999999996</v>
      </c>
    </row>
    <row r="55" spans="1:13">
      <c r="A55" s="634"/>
      <c r="B55" s="11" t="s">
        <v>2234</v>
      </c>
      <c r="C55" s="11">
        <v>1.2</v>
      </c>
      <c r="D55" s="11">
        <v>1.7</v>
      </c>
      <c r="E55" s="11">
        <f t="shared" si="4"/>
        <v>2.04</v>
      </c>
      <c r="F55" s="11">
        <v>5</v>
      </c>
      <c r="G55" s="11">
        <f t="shared" si="5"/>
        <v>10.199999999999999</v>
      </c>
      <c r="H55" s="11">
        <f t="shared" si="6"/>
        <v>10.199999999999999</v>
      </c>
      <c r="I55" s="11">
        <f t="shared" si="6"/>
        <v>10.199999999999999</v>
      </c>
      <c r="J55" s="11" t="s">
        <v>100</v>
      </c>
      <c r="K55" s="11" t="s">
        <v>100</v>
      </c>
      <c r="L55" s="11"/>
      <c r="M55" s="11">
        <f t="shared" si="7"/>
        <v>20.399999999999999</v>
      </c>
    </row>
    <row r="56" spans="1:13">
      <c r="A56" s="634"/>
      <c r="B56" s="11" t="s">
        <v>2233</v>
      </c>
      <c r="C56" s="11">
        <v>1</v>
      </c>
      <c r="D56" s="11">
        <v>1.7</v>
      </c>
      <c r="E56" s="11">
        <f t="shared" si="4"/>
        <v>1.7</v>
      </c>
      <c r="F56" s="11">
        <v>5</v>
      </c>
      <c r="G56" s="11">
        <f t="shared" si="5"/>
        <v>8.5</v>
      </c>
      <c r="H56" s="11">
        <f t="shared" si="6"/>
        <v>8.5</v>
      </c>
      <c r="I56" s="11">
        <f t="shared" si="6"/>
        <v>8.5</v>
      </c>
      <c r="J56" s="11" t="s">
        <v>100</v>
      </c>
      <c r="K56" s="11" t="s">
        <v>100</v>
      </c>
      <c r="L56" s="11"/>
      <c r="M56" s="11">
        <f t="shared" si="7"/>
        <v>17</v>
      </c>
    </row>
    <row r="57" spans="1:13">
      <c r="A57" s="634"/>
      <c r="B57" s="11" t="s">
        <v>2232</v>
      </c>
      <c r="C57" s="11">
        <v>0.6</v>
      </c>
      <c r="D57" s="11">
        <v>1.7</v>
      </c>
      <c r="E57" s="11">
        <f t="shared" si="4"/>
        <v>1.02</v>
      </c>
      <c r="F57" s="11">
        <v>2</v>
      </c>
      <c r="G57" s="11">
        <f t="shared" si="5"/>
        <v>2.04</v>
      </c>
      <c r="H57" s="11">
        <f t="shared" si="6"/>
        <v>2.04</v>
      </c>
      <c r="I57" s="11">
        <f t="shared" si="6"/>
        <v>2.04</v>
      </c>
      <c r="J57" s="11" t="s">
        <v>100</v>
      </c>
      <c r="K57" s="11" t="s">
        <v>100</v>
      </c>
      <c r="L57" s="11"/>
      <c r="M57" s="11">
        <f t="shared" si="7"/>
        <v>4.08</v>
      </c>
    </row>
    <row r="58" spans="1:13">
      <c r="A58" s="634"/>
      <c r="B58" s="11" t="s">
        <v>2231</v>
      </c>
      <c r="C58" s="11">
        <v>1.8</v>
      </c>
      <c r="D58" s="11">
        <v>1.7</v>
      </c>
      <c r="E58" s="11">
        <f t="shared" si="4"/>
        <v>3.06</v>
      </c>
      <c r="F58" s="11">
        <v>5</v>
      </c>
      <c r="G58" s="11">
        <f t="shared" si="5"/>
        <v>15.3</v>
      </c>
      <c r="H58" s="11">
        <f t="shared" si="6"/>
        <v>15.3</v>
      </c>
      <c r="I58" s="11">
        <f t="shared" si="6"/>
        <v>15.3</v>
      </c>
      <c r="J58" s="11" t="s">
        <v>100</v>
      </c>
      <c r="K58" s="11" t="s">
        <v>100</v>
      </c>
      <c r="L58" s="11"/>
      <c r="M58" s="11">
        <f t="shared" si="7"/>
        <v>30.6</v>
      </c>
    </row>
    <row r="59" spans="1:13">
      <c r="A59" s="634"/>
      <c r="B59" s="11" t="s">
        <v>2230</v>
      </c>
      <c r="C59" s="11">
        <v>1.4</v>
      </c>
      <c r="D59" s="11">
        <v>1.2</v>
      </c>
      <c r="E59" s="11">
        <f t="shared" si="4"/>
        <v>1.68</v>
      </c>
      <c r="F59" s="11">
        <v>2</v>
      </c>
      <c r="G59" s="11">
        <f t="shared" si="5"/>
        <v>3.36</v>
      </c>
      <c r="H59" s="11">
        <f t="shared" si="6"/>
        <v>3.36</v>
      </c>
      <c r="I59" s="11">
        <f t="shared" si="6"/>
        <v>3.36</v>
      </c>
      <c r="J59" s="11" t="s">
        <v>100</v>
      </c>
      <c r="K59" s="11" t="s">
        <v>100</v>
      </c>
      <c r="L59" s="11"/>
      <c r="M59" s="11">
        <f t="shared" si="7"/>
        <v>6.72</v>
      </c>
    </row>
    <row r="60" spans="1:13">
      <c r="A60" s="634"/>
      <c r="B60" s="11" t="s">
        <v>2229</v>
      </c>
      <c r="C60" s="11">
        <v>2.8</v>
      </c>
      <c r="D60" s="11">
        <v>0.8</v>
      </c>
      <c r="E60" s="11">
        <f t="shared" si="4"/>
        <v>2.2399999999999998</v>
      </c>
      <c r="F60" s="11">
        <v>2</v>
      </c>
      <c r="G60" s="11">
        <f t="shared" si="5"/>
        <v>4.4799999999999995</v>
      </c>
      <c r="H60" s="11">
        <f t="shared" si="6"/>
        <v>4.4799999999999995</v>
      </c>
      <c r="I60" s="11">
        <f t="shared" si="6"/>
        <v>4.4799999999999995</v>
      </c>
      <c r="J60" s="11" t="s">
        <v>100</v>
      </c>
      <c r="K60" s="11" t="s">
        <v>100</v>
      </c>
      <c r="L60" s="11"/>
      <c r="M60" s="11">
        <f t="shared" si="7"/>
        <v>8.9599999999999991</v>
      </c>
    </row>
    <row r="61" spans="1:13">
      <c r="A61" s="634"/>
      <c r="B61" s="11" t="s">
        <v>2228</v>
      </c>
      <c r="C61" s="11">
        <v>2.2000000000000002</v>
      </c>
      <c r="D61" s="11">
        <v>0.8</v>
      </c>
      <c r="E61" s="11">
        <f t="shared" si="4"/>
        <v>1.7600000000000002</v>
      </c>
      <c r="F61" s="11">
        <v>1</v>
      </c>
      <c r="G61" s="11">
        <f t="shared" si="5"/>
        <v>1.7600000000000002</v>
      </c>
      <c r="H61" s="11">
        <f t="shared" si="6"/>
        <v>1.7600000000000002</v>
      </c>
      <c r="I61" s="11">
        <f t="shared" si="6"/>
        <v>1.7600000000000002</v>
      </c>
      <c r="J61" s="11" t="s">
        <v>100</v>
      </c>
      <c r="K61" s="11" t="s">
        <v>100</v>
      </c>
      <c r="L61" s="11"/>
      <c r="M61" s="11">
        <f t="shared" si="7"/>
        <v>3.5200000000000005</v>
      </c>
    </row>
    <row r="62" spans="1:13">
      <c r="A62" s="634"/>
      <c r="B62" s="11" t="s">
        <v>2227</v>
      </c>
      <c r="C62" s="11">
        <v>1.8</v>
      </c>
      <c r="D62" s="11">
        <v>0.8</v>
      </c>
      <c r="E62" s="11">
        <f t="shared" si="4"/>
        <v>1.4400000000000002</v>
      </c>
      <c r="F62" s="11">
        <v>4</v>
      </c>
      <c r="G62" s="11">
        <f t="shared" si="5"/>
        <v>5.7600000000000007</v>
      </c>
      <c r="H62" s="11">
        <f t="shared" si="6"/>
        <v>5.7600000000000007</v>
      </c>
      <c r="I62" s="11">
        <f t="shared" si="6"/>
        <v>5.7600000000000007</v>
      </c>
      <c r="J62" s="11" t="s">
        <v>100</v>
      </c>
      <c r="K62" s="11" t="s">
        <v>100</v>
      </c>
      <c r="L62" s="11"/>
      <c r="M62" s="11">
        <f t="shared" si="7"/>
        <v>11.520000000000001</v>
      </c>
    </row>
    <row r="63" spans="1:13">
      <c r="A63" s="634"/>
      <c r="B63" s="11" t="s">
        <v>2226</v>
      </c>
      <c r="C63" s="11">
        <v>1.6</v>
      </c>
      <c r="D63" s="11">
        <v>0.8</v>
      </c>
      <c r="E63" s="11">
        <f t="shared" si="4"/>
        <v>1.2800000000000002</v>
      </c>
      <c r="F63" s="11">
        <v>5</v>
      </c>
      <c r="G63" s="11">
        <f t="shared" si="5"/>
        <v>6.4000000000000012</v>
      </c>
      <c r="H63" s="11">
        <f t="shared" si="6"/>
        <v>6.4000000000000012</v>
      </c>
      <c r="I63" s="11">
        <f t="shared" si="6"/>
        <v>6.4000000000000012</v>
      </c>
      <c r="J63" s="11" t="s">
        <v>100</v>
      </c>
      <c r="K63" s="11" t="s">
        <v>100</v>
      </c>
      <c r="L63" s="11"/>
      <c r="M63" s="11">
        <f t="shared" si="7"/>
        <v>12.800000000000002</v>
      </c>
    </row>
    <row r="64" spans="1:13">
      <c r="A64" s="634"/>
      <c r="B64" s="11" t="s">
        <v>2225</v>
      </c>
      <c r="C64" s="11">
        <v>1.4</v>
      </c>
      <c r="D64" s="11">
        <v>0.8</v>
      </c>
      <c r="E64" s="11">
        <f t="shared" si="4"/>
        <v>1.1199999999999999</v>
      </c>
      <c r="F64" s="11">
        <v>7</v>
      </c>
      <c r="G64" s="11">
        <f t="shared" si="5"/>
        <v>7.839999999999999</v>
      </c>
      <c r="H64" s="11">
        <f t="shared" si="6"/>
        <v>7.839999999999999</v>
      </c>
      <c r="I64" s="11">
        <f t="shared" si="6"/>
        <v>7.839999999999999</v>
      </c>
      <c r="J64" s="11" t="s">
        <v>100</v>
      </c>
      <c r="K64" s="11" t="s">
        <v>100</v>
      </c>
      <c r="L64" s="11"/>
      <c r="M64" s="11">
        <f t="shared" si="7"/>
        <v>15.679999999999998</v>
      </c>
    </row>
    <row r="65" spans="1:13">
      <c r="A65" s="634"/>
      <c r="B65" s="11" t="s">
        <v>2224</v>
      </c>
      <c r="C65" s="11">
        <v>1.2</v>
      </c>
      <c r="D65" s="11">
        <v>0.8</v>
      </c>
      <c r="E65" s="11">
        <f t="shared" si="4"/>
        <v>0.96</v>
      </c>
      <c r="F65" s="11">
        <v>11</v>
      </c>
      <c r="G65" s="11">
        <f t="shared" si="5"/>
        <v>10.559999999999999</v>
      </c>
      <c r="H65" s="11">
        <f t="shared" si="6"/>
        <v>10.559999999999999</v>
      </c>
      <c r="I65" s="11">
        <f t="shared" si="6"/>
        <v>10.559999999999999</v>
      </c>
      <c r="J65" s="11" t="s">
        <v>100</v>
      </c>
      <c r="K65" s="11" t="s">
        <v>100</v>
      </c>
      <c r="L65" s="11"/>
      <c r="M65" s="11">
        <f t="shared" si="7"/>
        <v>21.119999999999997</v>
      </c>
    </row>
    <row r="66" spans="1:13">
      <c r="A66" s="634"/>
      <c r="B66" s="11" t="s">
        <v>2223</v>
      </c>
      <c r="C66" s="11">
        <v>1</v>
      </c>
      <c r="D66" s="11">
        <v>0.8</v>
      </c>
      <c r="E66" s="11">
        <f t="shared" si="4"/>
        <v>0.8</v>
      </c>
      <c r="F66" s="422">
        <v>4</v>
      </c>
      <c r="G66" s="11">
        <f t="shared" si="5"/>
        <v>3.2</v>
      </c>
      <c r="H66" s="11">
        <f t="shared" si="6"/>
        <v>3.2</v>
      </c>
      <c r="I66" s="11">
        <f t="shared" si="6"/>
        <v>3.2</v>
      </c>
      <c r="J66" s="11" t="s">
        <v>100</v>
      </c>
      <c r="K66" s="11" t="s">
        <v>100</v>
      </c>
      <c r="L66" s="11"/>
      <c r="M66" s="11">
        <f t="shared" si="7"/>
        <v>6.4</v>
      </c>
    </row>
    <row r="67" spans="1:13">
      <c r="A67" s="634"/>
      <c r="B67" s="11" t="s">
        <v>2222</v>
      </c>
      <c r="C67" s="11">
        <v>0.6</v>
      </c>
      <c r="D67" s="11">
        <v>0.8</v>
      </c>
      <c r="E67" s="11">
        <f t="shared" si="4"/>
        <v>0.48</v>
      </c>
      <c r="F67" s="11">
        <v>3</v>
      </c>
      <c r="G67" s="11">
        <f t="shared" si="5"/>
        <v>1.44</v>
      </c>
      <c r="H67" s="11">
        <f t="shared" si="6"/>
        <v>1.44</v>
      </c>
      <c r="I67" s="11">
        <f t="shared" si="6"/>
        <v>1.44</v>
      </c>
      <c r="J67" s="11" t="s">
        <v>100</v>
      </c>
      <c r="K67" s="11" t="s">
        <v>100</v>
      </c>
      <c r="L67" s="11"/>
      <c r="M67" s="11">
        <f t="shared" si="7"/>
        <v>2.88</v>
      </c>
    </row>
    <row r="68" spans="1:13">
      <c r="A68" s="634"/>
      <c r="B68" s="11" t="s">
        <v>2221</v>
      </c>
      <c r="C68" s="11">
        <v>1.5</v>
      </c>
      <c r="D68" s="11">
        <v>1</v>
      </c>
      <c r="E68" s="11">
        <f t="shared" si="4"/>
        <v>1.5</v>
      </c>
      <c r="F68" s="11">
        <v>9</v>
      </c>
      <c r="G68" s="11">
        <f t="shared" si="5"/>
        <v>13.5</v>
      </c>
      <c r="H68" s="11">
        <f t="shared" si="6"/>
        <v>13.5</v>
      </c>
      <c r="I68" s="11">
        <f t="shared" si="6"/>
        <v>13.5</v>
      </c>
      <c r="J68" s="11" t="s">
        <v>100</v>
      </c>
      <c r="K68" s="11" t="s">
        <v>100</v>
      </c>
      <c r="L68" s="11"/>
      <c r="M68" s="11">
        <f t="shared" si="7"/>
        <v>27</v>
      </c>
    </row>
    <row r="69" spans="1:13">
      <c r="A69" s="634"/>
      <c r="B69" s="11" t="s">
        <v>2220</v>
      </c>
      <c r="C69" s="11">
        <v>1.5</v>
      </c>
      <c r="D69" s="11">
        <v>0.6</v>
      </c>
      <c r="E69" s="11">
        <f t="shared" si="4"/>
        <v>0.89999999999999991</v>
      </c>
      <c r="F69" s="11">
        <v>1</v>
      </c>
      <c r="G69" s="11">
        <f t="shared" si="5"/>
        <v>0.89999999999999991</v>
      </c>
      <c r="H69" s="11">
        <f t="shared" si="6"/>
        <v>0.89999999999999991</v>
      </c>
      <c r="I69" s="11">
        <f t="shared" si="6"/>
        <v>0.89999999999999991</v>
      </c>
      <c r="J69" s="11" t="s">
        <v>100</v>
      </c>
      <c r="K69" s="11" t="s">
        <v>100</v>
      </c>
      <c r="L69" s="11"/>
      <c r="M69" s="11">
        <f t="shared" si="7"/>
        <v>1.7999999999999998</v>
      </c>
    </row>
    <row r="70" spans="1:13">
      <c r="A70" s="634"/>
      <c r="B70" s="11" t="s">
        <v>2219</v>
      </c>
      <c r="C70" s="11">
        <v>0.8</v>
      </c>
      <c r="D70" s="11">
        <v>0.6</v>
      </c>
      <c r="E70" s="11">
        <f t="shared" si="4"/>
        <v>0.48</v>
      </c>
      <c r="F70" s="11">
        <v>2</v>
      </c>
      <c r="G70" s="11">
        <f t="shared" si="5"/>
        <v>0.96</v>
      </c>
      <c r="H70" s="11">
        <f t="shared" si="6"/>
        <v>0.96</v>
      </c>
      <c r="I70" s="11">
        <f t="shared" si="6"/>
        <v>0.96</v>
      </c>
      <c r="J70" s="11" t="s">
        <v>100</v>
      </c>
      <c r="K70" s="11" t="s">
        <v>100</v>
      </c>
      <c r="L70" s="11"/>
      <c r="M70" s="11">
        <f t="shared" si="7"/>
        <v>1.92</v>
      </c>
    </row>
    <row r="71" spans="1:13">
      <c r="A71" s="634"/>
      <c r="B71" s="11" t="s">
        <v>2218</v>
      </c>
      <c r="C71" s="11">
        <v>0.8</v>
      </c>
      <c r="D71" s="11">
        <v>0.5</v>
      </c>
      <c r="E71" s="11">
        <f t="shared" si="4"/>
        <v>0.4</v>
      </c>
      <c r="F71" s="11">
        <v>2</v>
      </c>
      <c r="G71" s="11">
        <f t="shared" si="5"/>
        <v>0.8</v>
      </c>
      <c r="H71" s="11">
        <f t="shared" si="6"/>
        <v>0.8</v>
      </c>
      <c r="I71" s="11">
        <f t="shared" si="6"/>
        <v>0.8</v>
      </c>
      <c r="J71" s="11" t="s">
        <v>100</v>
      </c>
      <c r="K71" s="11" t="s">
        <v>100</v>
      </c>
      <c r="L71" s="11"/>
      <c r="M71" s="11">
        <f t="shared" si="7"/>
        <v>1.6</v>
      </c>
    </row>
    <row r="72" spans="1:13">
      <c r="A72" s="634"/>
      <c r="B72" s="11" t="s">
        <v>2217</v>
      </c>
      <c r="C72" s="11">
        <v>1</v>
      </c>
      <c r="D72" s="11">
        <v>1.1000000000000001</v>
      </c>
      <c r="E72" s="11">
        <f t="shared" si="4"/>
        <v>1.1000000000000001</v>
      </c>
      <c r="F72" s="11">
        <v>1</v>
      </c>
      <c r="G72" s="11">
        <f t="shared" si="5"/>
        <v>1.1000000000000001</v>
      </c>
      <c r="H72" s="11">
        <f t="shared" si="6"/>
        <v>1.1000000000000001</v>
      </c>
      <c r="I72" s="11">
        <f t="shared" si="6"/>
        <v>1.1000000000000001</v>
      </c>
      <c r="J72" s="11" t="s">
        <v>100</v>
      </c>
      <c r="K72" s="11" t="s">
        <v>100</v>
      </c>
      <c r="L72" s="11"/>
      <c r="M72" s="11">
        <f t="shared" si="7"/>
        <v>2.2000000000000002</v>
      </c>
    </row>
    <row r="73" spans="1:13">
      <c r="A73" s="634"/>
      <c r="B73" s="11" t="s">
        <v>2216</v>
      </c>
      <c r="C73" s="11">
        <v>1.5</v>
      </c>
      <c r="D73" s="11">
        <v>0.5</v>
      </c>
      <c r="E73" s="11">
        <f t="shared" si="4"/>
        <v>0.75</v>
      </c>
      <c r="F73" s="11">
        <v>3</v>
      </c>
      <c r="G73" s="11">
        <f t="shared" si="5"/>
        <v>2.25</v>
      </c>
      <c r="H73" s="11">
        <f t="shared" si="6"/>
        <v>2.25</v>
      </c>
      <c r="I73" s="11">
        <f t="shared" si="6"/>
        <v>2.25</v>
      </c>
      <c r="J73" s="11" t="s">
        <v>100</v>
      </c>
      <c r="K73" s="11" t="s">
        <v>100</v>
      </c>
      <c r="L73" s="11"/>
      <c r="M73" s="11">
        <f t="shared" si="7"/>
        <v>4.5</v>
      </c>
    </row>
    <row r="74" spans="1:13">
      <c r="A74" s="634"/>
      <c r="B74" s="11" t="s">
        <v>2215</v>
      </c>
      <c r="C74" s="11">
        <v>2.2000000000000002</v>
      </c>
      <c r="D74" s="11">
        <v>1.2</v>
      </c>
      <c r="E74" s="11">
        <f t="shared" si="4"/>
        <v>2.64</v>
      </c>
      <c r="F74" s="11">
        <v>1</v>
      </c>
      <c r="G74" s="11">
        <f t="shared" si="5"/>
        <v>2.64</v>
      </c>
      <c r="H74" s="11">
        <f t="shared" si="6"/>
        <v>2.64</v>
      </c>
      <c r="I74" s="11">
        <f t="shared" si="6"/>
        <v>2.64</v>
      </c>
      <c r="J74" s="11" t="s">
        <v>100</v>
      </c>
      <c r="K74" s="11" t="s">
        <v>100</v>
      </c>
      <c r="L74" s="11"/>
      <c r="M74" s="11">
        <f t="shared" si="7"/>
        <v>5.28</v>
      </c>
    </row>
    <row r="75" spans="1:13">
      <c r="A75" s="634"/>
      <c r="B75" s="11" t="s">
        <v>2214</v>
      </c>
      <c r="C75" s="11">
        <v>0.8</v>
      </c>
      <c r="D75" s="11">
        <v>1</v>
      </c>
      <c r="E75" s="11">
        <f t="shared" si="4"/>
        <v>0.8</v>
      </c>
      <c r="F75" s="11">
        <v>1</v>
      </c>
      <c r="G75" s="11">
        <f t="shared" si="5"/>
        <v>0.8</v>
      </c>
      <c r="H75" s="11">
        <f t="shared" si="6"/>
        <v>0.8</v>
      </c>
      <c r="I75" s="11">
        <f t="shared" si="6"/>
        <v>0.8</v>
      </c>
      <c r="J75" s="11" t="s">
        <v>100</v>
      </c>
      <c r="K75" s="11" t="s">
        <v>100</v>
      </c>
      <c r="L75" s="11"/>
      <c r="M75" s="11">
        <f t="shared" si="7"/>
        <v>1.6</v>
      </c>
    </row>
    <row r="76" spans="1:13">
      <c r="B76" s="11" t="s">
        <v>2213</v>
      </c>
      <c r="C76" s="11">
        <v>0.8</v>
      </c>
      <c r="D76" s="11">
        <v>0.8</v>
      </c>
      <c r="E76" s="11">
        <f t="shared" si="4"/>
        <v>0.64000000000000012</v>
      </c>
      <c r="F76" s="11">
        <v>2</v>
      </c>
      <c r="G76" s="11">
        <f t="shared" si="5"/>
        <v>1.2800000000000002</v>
      </c>
      <c r="H76" s="11">
        <f t="shared" si="6"/>
        <v>1.2800000000000002</v>
      </c>
      <c r="I76" s="11">
        <f t="shared" si="6"/>
        <v>1.2800000000000002</v>
      </c>
      <c r="J76" s="11" t="s">
        <v>100</v>
      </c>
      <c r="K76" s="11" t="s">
        <v>100</v>
      </c>
      <c r="L76" s="11"/>
      <c r="M76" s="11">
        <f t="shared" si="7"/>
        <v>2.5600000000000005</v>
      </c>
    </row>
    <row r="77" spans="1:13">
      <c r="B77" s="11" t="s">
        <v>2212</v>
      </c>
      <c r="C77" s="11">
        <v>1.9</v>
      </c>
      <c r="D77" s="11">
        <v>1</v>
      </c>
      <c r="E77" s="11">
        <f t="shared" si="4"/>
        <v>1.9</v>
      </c>
      <c r="F77" s="11">
        <v>1</v>
      </c>
      <c r="G77" s="11">
        <f t="shared" si="5"/>
        <v>1.9</v>
      </c>
      <c r="H77" s="11">
        <f t="shared" si="6"/>
        <v>1.9</v>
      </c>
      <c r="I77" s="11">
        <f t="shared" si="6"/>
        <v>1.9</v>
      </c>
      <c r="J77" s="11" t="s">
        <v>100</v>
      </c>
      <c r="K77" s="11" t="s">
        <v>100</v>
      </c>
      <c r="L77" s="11"/>
      <c r="M77" s="11">
        <f t="shared" si="7"/>
        <v>3.8</v>
      </c>
    </row>
    <row r="78" spans="1:13">
      <c r="A78" t="s">
        <v>2211</v>
      </c>
    </row>
    <row r="79" spans="1:13">
      <c r="A79" s="634" t="s">
        <v>2210</v>
      </c>
      <c r="B79" s="11" t="s">
        <v>2209</v>
      </c>
      <c r="C79" s="11">
        <v>4.01</v>
      </c>
      <c r="D79" s="11">
        <v>4.09</v>
      </c>
      <c r="E79" s="11">
        <v>16.399999999999999</v>
      </c>
      <c r="F79" s="11">
        <v>1</v>
      </c>
      <c r="G79" s="11">
        <v>16.399999999999999</v>
      </c>
      <c r="H79" s="11">
        <v>16.399999999999999</v>
      </c>
      <c r="I79" s="11" t="s">
        <v>100</v>
      </c>
      <c r="J79" s="11"/>
      <c r="K79" s="11" t="s">
        <v>100</v>
      </c>
      <c r="L79" s="11">
        <v>16.399999999999999</v>
      </c>
      <c r="M79" s="11">
        <v>32.799999999999997</v>
      </c>
    </row>
    <row r="80" spans="1:13">
      <c r="A80" s="634"/>
      <c r="B80" s="11" t="s">
        <v>2208</v>
      </c>
      <c r="C80" s="11">
        <v>4.01</v>
      </c>
      <c r="D80" s="11">
        <v>2.5299999999999998</v>
      </c>
      <c r="E80" s="11">
        <v>10.14</v>
      </c>
      <c r="F80" s="11">
        <v>1</v>
      </c>
      <c r="G80" s="11">
        <v>10.14</v>
      </c>
      <c r="H80" s="11">
        <v>10.14</v>
      </c>
      <c r="I80" s="11" t="s">
        <v>100</v>
      </c>
      <c r="J80" s="11"/>
      <c r="K80" s="11" t="s">
        <v>100</v>
      </c>
      <c r="L80" s="11">
        <v>10.14</v>
      </c>
      <c r="M80" s="11">
        <v>20.28</v>
      </c>
    </row>
    <row r="81" spans="1:13">
      <c r="A81" s="634" t="s">
        <v>2207</v>
      </c>
      <c r="B81" s="11" t="s">
        <v>1351</v>
      </c>
      <c r="C81" s="11">
        <v>2.19</v>
      </c>
      <c r="D81" s="11">
        <v>1.59</v>
      </c>
      <c r="E81" s="11">
        <v>3.48</v>
      </c>
      <c r="F81" s="11">
        <v>2</v>
      </c>
      <c r="G81" s="11">
        <v>6.96</v>
      </c>
      <c r="H81" s="11">
        <v>6.96</v>
      </c>
      <c r="I81" s="11">
        <v>6.96</v>
      </c>
      <c r="J81" s="11" t="s">
        <v>100</v>
      </c>
      <c r="K81" s="11" t="s">
        <v>100</v>
      </c>
      <c r="L81" s="11"/>
      <c r="M81" s="11">
        <v>13.92</v>
      </c>
    </row>
    <row r="82" spans="1:13">
      <c r="A82" s="634"/>
      <c r="B82" s="11" t="s">
        <v>1352</v>
      </c>
      <c r="C82" s="11">
        <v>2.19</v>
      </c>
      <c r="D82" s="11">
        <v>1</v>
      </c>
      <c r="E82" s="11">
        <v>2.19</v>
      </c>
      <c r="F82" s="11">
        <v>4</v>
      </c>
      <c r="G82" s="11">
        <v>8.76</v>
      </c>
      <c r="H82" s="11">
        <v>8.76</v>
      </c>
      <c r="I82" s="11">
        <v>8.76</v>
      </c>
      <c r="J82" s="11" t="s">
        <v>100</v>
      </c>
      <c r="K82" s="11" t="s">
        <v>100</v>
      </c>
      <c r="L82" s="11"/>
      <c r="M82" s="11">
        <v>17.52</v>
      </c>
    </row>
    <row r="83" spans="1:13">
      <c r="A83" s="634"/>
      <c r="B83" s="11" t="s">
        <v>1353</v>
      </c>
      <c r="C83" s="11">
        <v>2.19</v>
      </c>
      <c r="D83" s="11">
        <v>1.39</v>
      </c>
      <c r="E83" s="11">
        <v>3.04</v>
      </c>
      <c r="F83" s="11">
        <v>32</v>
      </c>
      <c r="G83" s="11">
        <v>97.28</v>
      </c>
      <c r="H83" s="11">
        <v>97.28</v>
      </c>
      <c r="I83" s="11">
        <v>97.28</v>
      </c>
      <c r="J83" s="11" t="s">
        <v>100</v>
      </c>
      <c r="K83" s="11" t="s">
        <v>100</v>
      </c>
      <c r="L83" s="11"/>
      <c r="M83" s="11">
        <v>194.56</v>
      </c>
    </row>
    <row r="84" spans="1:13">
      <c r="A84" s="634"/>
      <c r="B84" s="11" t="s">
        <v>1354</v>
      </c>
      <c r="C84" s="11">
        <v>0.99</v>
      </c>
      <c r="D84" s="11">
        <v>1.19</v>
      </c>
      <c r="E84" s="11">
        <v>1.18</v>
      </c>
      <c r="F84" s="11">
        <v>22</v>
      </c>
      <c r="G84" s="11">
        <v>25.96</v>
      </c>
      <c r="H84" s="11">
        <v>25.96</v>
      </c>
      <c r="I84" s="11">
        <v>25.96</v>
      </c>
      <c r="J84" s="11" t="s">
        <v>100</v>
      </c>
      <c r="K84" s="11" t="s">
        <v>100</v>
      </c>
      <c r="L84" s="11"/>
      <c r="M84" s="11">
        <v>51.92</v>
      </c>
    </row>
    <row r="85" spans="1:13">
      <c r="A85" s="634"/>
      <c r="B85" s="11" t="s">
        <v>2134</v>
      </c>
      <c r="C85" s="11">
        <v>0.79</v>
      </c>
      <c r="D85" s="11">
        <v>0.59</v>
      </c>
      <c r="E85" s="11">
        <v>0.47</v>
      </c>
      <c r="F85" s="11">
        <v>20</v>
      </c>
      <c r="G85" s="11">
        <v>9.4</v>
      </c>
      <c r="H85" s="11">
        <v>9.4</v>
      </c>
      <c r="I85" s="11">
        <v>9.4</v>
      </c>
      <c r="J85" s="11" t="s">
        <v>100</v>
      </c>
      <c r="K85" s="11" t="s">
        <v>100</v>
      </c>
      <c r="L85" s="11"/>
      <c r="M85" s="11">
        <v>18.8</v>
      </c>
    </row>
    <row r="86" spans="1:13">
      <c r="A86" s="634"/>
      <c r="B86" s="11" t="s">
        <v>2133</v>
      </c>
      <c r="C86" s="11">
        <v>3.93</v>
      </c>
      <c r="D86" s="11">
        <v>2.41</v>
      </c>
      <c r="E86" s="11">
        <v>9.4700000000000006</v>
      </c>
      <c r="F86" s="11">
        <v>1</v>
      </c>
      <c r="G86" s="11">
        <v>9.4700000000000006</v>
      </c>
      <c r="H86" s="11">
        <v>9.4700000000000006</v>
      </c>
      <c r="I86" s="11">
        <v>9.4700000000000006</v>
      </c>
      <c r="J86" s="11" t="s">
        <v>100</v>
      </c>
      <c r="K86" s="11" t="s">
        <v>100</v>
      </c>
      <c r="L86" s="11"/>
      <c r="M86" s="11">
        <v>18.940000000000001</v>
      </c>
    </row>
    <row r="87" spans="1:13">
      <c r="A87" s="634"/>
      <c r="B87" s="11" t="s">
        <v>2137</v>
      </c>
      <c r="C87" s="11">
        <v>3.61</v>
      </c>
      <c r="D87" s="11">
        <v>2.41</v>
      </c>
      <c r="E87" s="11">
        <v>8.6999999999999993</v>
      </c>
      <c r="F87" s="11">
        <v>1</v>
      </c>
      <c r="G87" s="11">
        <v>8.6999999999999993</v>
      </c>
      <c r="H87" s="11">
        <v>8.6999999999999993</v>
      </c>
      <c r="I87" s="11">
        <v>8.6999999999999993</v>
      </c>
      <c r="J87" s="11" t="s">
        <v>100</v>
      </c>
      <c r="K87" s="11" t="s">
        <v>100</v>
      </c>
      <c r="L87" s="11"/>
      <c r="M87" s="11">
        <v>17.399999999999999</v>
      </c>
    </row>
    <row r="88" spans="1:13">
      <c r="A88" s="634"/>
      <c r="B88" s="11" t="s">
        <v>2200</v>
      </c>
      <c r="C88" s="11">
        <v>2.97</v>
      </c>
      <c r="D88" s="11">
        <v>2.41</v>
      </c>
      <c r="E88" s="11">
        <v>7.15</v>
      </c>
      <c r="F88" s="11">
        <v>1</v>
      </c>
      <c r="G88" s="11">
        <v>7.15</v>
      </c>
      <c r="H88" s="11">
        <v>7.15</v>
      </c>
      <c r="I88" s="11">
        <v>7.15</v>
      </c>
      <c r="J88" s="11" t="s">
        <v>100</v>
      </c>
      <c r="K88" s="11" t="s">
        <v>100</v>
      </c>
      <c r="L88" s="11"/>
      <c r="M88" s="11">
        <v>14.3</v>
      </c>
    </row>
    <row r="89" spans="1:13">
      <c r="A89" s="634"/>
      <c r="B89" s="11" t="s">
        <v>2199</v>
      </c>
      <c r="C89" s="11">
        <v>1.97</v>
      </c>
      <c r="D89" s="11">
        <v>2.98</v>
      </c>
      <c r="E89" s="11">
        <v>5.9</v>
      </c>
      <c r="F89" s="11">
        <v>1</v>
      </c>
      <c r="G89" s="11">
        <v>5.9</v>
      </c>
      <c r="H89" s="11">
        <v>5.9</v>
      </c>
      <c r="I89" s="11">
        <v>5.9</v>
      </c>
      <c r="J89" s="11" t="s">
        <v>100</v>
      </c>
      <c r="K89" s="11" t="s">
        <v>100</v>
      </c>
      <c r="L89" s="11"/>
      <c r="M89" s="11">
        <v>11.8</v>
      </c>
    </row>
    <row r="90" spans="1:13">
      <c r="A90" s="634"/>
      <c r="B90" s="11" t="s">
        <v>2201</v>
      </c>
      <c r="C90" s="11">
        <v>1.97</v>
      </c>
      <c r="D90" s="11">
        <v>1.52</v>
      </c>
      <c r="E90" s="11">
        <v>2.99</v>
      </c>
      <c r="F90" s="11">
        <v>1</v>
      </c>
      <c r="G90" s="11">
        <v>2.99</v>
      </c>
      <c r="H90" s="11">
        <v>2.99</v>
      </c>
      <c r="I90" s="11">
        <v>2.99</v>
      </c>
      <c r="J90" s="11" t="s">
        <v>100</v>
      </c>
      <c r="K90" s="11" t="s">
        <v>100</v>
      </c>
      <c r="L90" s="11"/>
      <c r="M90" s="11">
        <v>5.98</v>
      </c>
    </row>
    <row r="91" spans="1:13">
      <c r="A91" s="634"/>
      <c r="B91" s="11" t="s">
        <v>2196</v>
      </c>
      <c r="C91" s="11">
        <v>3.61</v>
      </c>
      <c r="D91" s="11">
        <v>1.52</v>
      </c>
      <c r="E91" s="11">
        <v>5.49</v>
      </c>
      <c r="F91" s="11">
        <v>1</v>
      </c>
      <c r="G91" s="11">
        <v>5.49</v>
      </c>
      <c r="H91" s="11">
        <v>5.49</v>
      </c>
      <c r="I91" s="11">
        <v>5.49</v>
      </c>
      <c r="J91" s="11" t="s">
        <v>100</v>
      </c>
      <c r="K91" s="11" t="s">
        <v>100</v>
      </c>
      <c r="L91" s="11"/>
      <c r="M91" s="11">
        <v>10.98</v>
      </c>
    </row>
    <row r="92" spans="1:13">
      <c r="A92" s="634"/>
      <c r="B92" s="11" t="s">
        <v>2195</v>
      </c>
      <c r="C92" s="11">
        <v>2.97</v>
      </c>
      <c r="D92" s="11">
        <v>1.52</v>
      </c>
      <c r="E92" s="11">
        <v>4.5</v>
      </c>
      <c r="F92" s="11">
        <v>1</v>
      </c>
      <c r="G92" s="11">
        <v>4.51</v>
      </c>
      <c r="H92" s="11">
        <v>4.51</v>
      </c>
      <c r="I92" s="11">
        <v>4.51</v>
      </c>
      <c r="J92" s="11" t="s">
        <v>100</v>
      </c>
      <c r="K92" s="11" t="s">
        <v>100</v>
      </c>
      <c r="L92" s="11"/>
      <c r="M92" s="11">
        <v>9.02</v>
      </c>
    </row>
    <row r="93" spans="1:13" ht="78.75">
      <c r="A93" s="421" t="s">
        <v>2063</v>
      </c>
      <c r="B93" s="420" t="s">
        <v>100</v>
      </c>
      <c r="C93" s="420" t="s">
        <v>2062</v>
      </c>
      <c r="D93" s="420" t="s">
        <v>2061</v>
      </c>
      <c r="E93" s="420" t="s">
        <v>2060</v>
      </c>
      <c r="F93" s="420" t="s">
        <v>2059</v>
      </c>
      <c r="G93" s="420" t="s">
        <v>2054</v>
      </c>
      <c r="H93" s="419" t="s">
        <v>2058</v>
      </c>
      <c r="I93" s="419" t="s">
        <v>2057</v>
      </c>
      <c r="J93" s="419" t="s">
        <v>2056</v>
      </c>
      <c r="K93" s="419" t="s">
        <v>2055</v>
      </c>
      <c r="L93" s="419" t="s">
        <v>2206</v>
      </c>
      <c r="M93" s="419" t="s">
        <v>2054</v>
      </c>
    </row>
    <row r="94" spans="1:13">
      <c r="A94" s="418"/>
      <c r="B94" s="417"/>
      <c r="C94" s="417"/>
      <c r="D94" s="417"/>
      <c r="E94" s="417"/>
      <c r="F94" s="417">
        <f t="shared" ref="F94:M94" si="8">SUM(F49:F92)</f>
        <v>271</v>
      </c>
      <c r="G94" s="417">
        <f t="shared" si="8"/>
        <v>637.68999999999994</v>
      </c>
      <c r="H94" s="417">
        <f t="shared" si="8"/>
        <v>637.68999999999994</v>
      </c>
      <c r="I94" s="416">
        <f t="shared" si="8"/>
        <v>611.15</v>
      </c>
      <c r="J94" s="416">
        <f t="shared" si="8"/>
        <v>0</v>
      </c>
      <c r="K94" s="416">
        <f t="shared" si="8"/>
        <v>0</v>
      </c>
      <c r="L94" s="416">
        <f t="shared" si="8"/>
        <v>26.54</v>
      </c>
      <c r="M94" s="416">
        <f t="shared" si="8"/>
        <v>1275.3799999999999</v>
      </c>
    </row>
  </sheetData>
  <mergeCells count="7">
    <mergeCell ref="A48:A75"/>
    <mergeCell ref="A47:M47"/>
    <mergeCell ref="A79:A80"/>
    <mergeCell ref="A81:A92"/>
    <mergeCell ref="A1:E1"/>
    <mergeCell ref="A12:M12"/>
    <mergeCell ref="A13:A31"/>
  </mergeCells>
  <pageMargins left="0.511811024" right="0.511811024" top="0.78740157499999996" bottom="0.78740157499999996" header="0.31496062000000002" footer="0.31496062000000002"/>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84B01-BEB6-48DA-99CC-AFA2C9A69417}">
  <dimension ref="A1:P55"/>
  <sheetViews>
    <sheetView workbookViewId="0">
      <selection activeCell="F10" sqref="F10"/>
    </sheetView>
  </sheetViews>
  <sheetFormatPr defaultRowHeight="15"/>
  <cols>
    <col min="1" max="1" width="13.28515625" customWidth="1"/>
    <col min="2" max="2" width="24.5703125" customWidth="1"/>
    <col min="3" max="3" width="20" customWidth="1"/>
    <col min="4" max="4" width="20.42578125" customWidth="1"/>
    <col min="5" max="5" width="25.7109375" customWidth="1"/>
    <col min="6" max="6" width="20.28515625" customWidth="1"/>
  </cols>
  <sheetData>
    <row r="1" spans="1:6">
      <c r="A1" s="834" t="s">
        <v>2205</v>
      </c>
      <c r="B1" s="834"/>
      <c r="C1" s="834"/>
      <c r="D1" s="834"/>
      <c r="E1" s="834"/>
      <c r="F1" s="10"/>
    </row>
    <row r="2" spans="1:6" ht="41.25" customHeight="1">
      <c r="A2" s="822" t="s">
        <v>2502</v>
      </c>
      <c r="B2" s="395" t="s">
        <v>2058</v>
      </c>
      <c r="C2" s="395" t="s">
        <v>2057</v>
      </c>
      <c r="D2" s="395" t="s">
        <v>2056</v>
      </c>
      <c r="E2" s="395" t="s">
        <v>2055</v>
      </c>
    </row>
    <row r="3" spans="1:6">
      <c r="A3" s="822"/>
      <c r="B3" s="391">
        <f>TRUNC(B7+B12,2)</f>
        <v>188.96</v>
      </c>
      <c r="C3" s="391">
        <f t="shared" ref="C3:E3" si="0">TRUNC(C7+C12,2)</f>
        <v>96.13</v>
      </c>
      <c r="D3" s="391">
        <f t="shared" si="0"/>
        <v>0</v>
      </c>
      <c r="E3" s="391">
        <f t="shared" si="0"/>
        <v>0</v>
      </c>
    </row>
    <row r="4" spans="1:6">
      <c r="B4" s="409"/>
      <c r="C4" s="409"/>
      <c r="D4" s="409"/>
      <c r="E4" s="409"/>
    </row>
    <row r="5" spans="1:6" ht="44.25" customHeight="1">
      <c r="A5" s="821" t="s">
        <v>2164</v>
      </c>
      <c r="B5" s="821"/>
      <c r="C5" s="821"/>
      <c r="D5" s="821"/>
      <c r="E5" s="821"/>
      <c r="F5" s="10"/>
    </row>
    <row r="6" spans="1:6" ht="41.25" customHeight="1">
      <c r="A6" s="822" t="s">
        <v>2163</v>
      </c>
      <c r="B6" s="395" t="s">
        <v>2058</v>
      </c>
      <c r="C6" s="395" t="s">
        <v>2057</v>
      </c>
      <c r="D6" s="395" t="s">
        <v>2056</v>
      </c>
      <c r="E6" s="395" t="s">
        <v>2055</v>
      </c>
    </row>
    <row r="7" spans="1:6">
      <c r="A7" s="822"/>
      <c r="B7" s="391">
        <f>'BS-ESQ'!I43</f>
        <v>179.72800000000004</v>
      </c>
      <c r="C7" s="391">
        <f>'BS-ESQ'!J43</f>
        <v>96.13600000000001</v>
      </c>
      <c r="D7" s="391">
        <f>'BS-ESQ'!K43</f>
        <v>0</v>
      </c>
      <c r="E7" s="391">
        <f>'BS-ESQ'!L43</f>
        <v>0</v>
      </c>
    </row>
    <row r="8" spans="1:6">
      <c r="A8" s="437"/>
      <c r="B8" s="835"/>
      <c r="C8" s="835"/>
      <c r="D8" s="835"/>
      <c r="E8" s="835"/>
    </row>
    <row r="9" spans="1:6">
      <c r="A9" s="821" t="s">
        <v>2162</v>
      </c>
      <c r="B9" s="821"/>
      <c r="C9" s="821"/>
      <c r="D9" s="821"/>
      <c r="E9" s="821"/>
    </row>
    <row r="10" spans="1:6" ht="40.5" customHeight="1">
      <c r="A10" s="821"/>
      <c r="B10" s="821"/>
      <c r="C10" s="821"/>
      <c r="D10" s="821"/>
      <c r="E10" s="821"/>
    </row>
    <row r="11" spans="1:6" ht="45" customHeight="1">
      <c r="A11" s="822" t="s">
        <v>2161</v>
      </c>
      <c r="B11" s="395" t="s">
        <v>2058</v>
      </c>
      <c r="C11" s="395" t="s">
        <v>2057</v>
      </c>
      <c r="D11" s="395" t="s">
        <v>2056</v>
      </c>
      <c r="E11" s="395" t="s">
        <v>2055</v>
      </c>
    </row>
    <row r="12" spans="1:6" ht="15.75" customHeight="1">
      <c r="A12" s="822"/>
      <c r="B12" s="391">
        <f>'BS-ESQ'!K55</f>
        <v>9.2399999999999984</v>
      </c>
      <c r="C12" s="391">
        <f>'BS-ESQ'!L55</f>
        <v>0</v>
      </c>
      <c r="D12" s="391">
        <f>'BS-ESQ'!M55</f>
        <v>0</v>
      </c>
      <c r="E12" s="391">
        <f>'BS-ESQ'!N55</f>
        <v>0</v>
      </c>
    </row>
    <row r="13" spans="1:6" ht="19.5" customHeight="1">
      <c r="A13" s="437"/>
      <c r="B13" s="835"/>
      <c r="C13" s="835"/>
      <c r="D13" s="835"/>
      <c r="E13" s="835"/>
    </row>
    <row r="14" spans="1:6">
      <c r="A14" s="10"/>
      <c r="B14" s="10"/>
      <c r="C14" s="10"/>
      <c r="D14" s="10"/>
      <c r="E14" s="10"/>
    </row>
    <row r="15" spans="1:6">
      <c r="A15" s="10"/>
      <c r="B15" s="10"/>
      <c r="C15" s="10"/>
      <c r="D15" s="10"/>
      <c r="E15" s="10"/>
    </row>
    <row r="16" spans="1:6">
      <c r="A16" s="10"/>
      <c r="B16" s="10"/>
      <c r="C16" s="10"/>
      <c r="D16" s="10"/>
      <c r="E16" s="10"/>
    </row>
    <row r="17" spans="1:13">
      <c r="A17" s="10"/>
      <c r="B17" s="10"/>
      <c r="C17" s="10"/>
      <c r="D17" s="10"/>
      <c r="E17" s="10"/>
    </row>
    <row r="18" spans="1:13">
      <c r="A18" s="10"/>
      <c r="B18" s="10"/>
      <c r="C18" s="10"/>
      <c r="D18" s="10"/>
      <c r="E18" s="10"/>
    </row>
    <row r="19" spans="1:13">
      <c r="A19" s="10"/>
      <c r="B19" s="10"/>
      <c r="C19" s="10"/>
      <c r="D19" s="10"/>
      <c r="E19" s="10"/>
    </row>
    <row r="20" spans="1:13">
      <c r="A20" s="821" t="s">
        <v>2270</v>
      </c>
      <c r="B20" s="821"/>
      <c r="C20" s="821"/>
      <c r="D20" s="821"/>
      <c r="E20" s="821"/>
      <c r="F20" s="821"/>
      <c r="G20" s="821"/>
      <c r="H20" s="821"/>
      <c r="I20" s="821"/>
      <c r="J20" s="821"/>
      <c r="K20" s="821"/>
      <c r="L20" s="821"/>
      <c r="M20" s="821"/>
    </row>
    <row r="21" spans="1:13" ht="60">
      <c r="A21" s="634" t="s">
        <v>2269</v>
      </c>
      <c r="B21" s="634"/>
      <c r="C21" s="3" t="s">
        <v>100</v>
      </c>
      <c r="D21" s="3" t="s">
        <v>2095</v>
      </c>
      <c r="E21" s="3" t="s">
        <v>2094</v>
      </c>
      <c r="F21" s="3" t="s">
        <v>2060</v>
      </c>
      <c r="G21" s="3" t="s">
        <v>2059</v>
      </c>
      <c r="H21" s="3" t="s">
        <v>2069</v>
      </c>
      <c r="I21" s="40" t="s">
        <v>2058</v>
      </c>
      <c r="J21" s="40" t="s">
        <v>2266</v>
      </c>
      <c r="K21" s="40" t="s">
        <v>2265</v>
      </c>
      <c r="L21" s="40" t="s">
        <v>2264</v>
      </c>
      <c r="M21" s="3" t="s">
        <v>2263</v>
      </c>
    </row>
    <row r="22" spans="1:13">
      <c r="A22" s="634"/>
      <c r="B22" s="634"/>
      <c r="C22" s="11" t="s">
        <v>1351</v>
      </c>
      <c r="D22" s="11">
        <v>0.6</v>
      </c>
      <c r="E22" s="11">
        <v>0.4</v>
      </c>
      <c r="F22" s="11">
        <f t="shared" ref="F22:F30" si="1">D22*E22</f>
        <v>0.24</v>
      </c>
      <c r="G22" s="11">
        <v>1</v>
      </c>
      <c r="H22" s="11">
        <f t="shared" ref="H22:H30" si="2">F22*G22</f>
        <v>0.24</v>
      </c>
      <c r="I22" s="11">
        <f>H22*2</f>
        <v>0.48</v>
      </c>
      <c r="J22" s="11" t="s">
        <v>100</v>
      </c>
      <c r="K22" s="11" t="s">
        <v>100</v>
      </c>
      <c r="L22" s="11" t="s">
        <v>100</v>
      </c>
      <c r="M22" s="3">
        <f t="shared" ref="M22:M30" si="3">SUM(I22:L22)</f>
        <v>0.48</v>
      </c>
    </row>
    <row r="23" spans="1:13">
      <c r="A23" s="634"/>
      <c r="B23" s="634"/>
      <c r="C23" s="11" t="s">
        <v>1352</v>
      </c>
      <c r="D23" s="11">
        <v>1</v>
      </c>
      <c r="E23" s="11">
        <v>0.4</v>
      </c>
      <c r="F23" s="11">
        <f t="shared" si="1"/>
        <v>0.4</v>
      </c>
      <c r="G23" s="11">
        <v>2</v>
      </c>
      <c r="H23" s="11">
        <f t="shared" si="2"/>
        <v>0.8</v>
      </c>
      <c r="I23" s="11">
        <f>H23*2</f>
        <v>1.6</v>
      </c>
      <c r="J23" s="11" t="s">
        <v>100</v>
      </c>
      <c r="K23" s="11" t="s">
        <v>100</v>
      </c>
      <c r="L23" s="11" t="s">
        <v>100</v>
      </c>
      <c r="M23" s="3">
        <f t="shared" si="3"/>
        <v>1.6</v>
      </c>
    </row>
    <row r="24" spans="1:13" ht="78.75" customHeight="1">
      <c r="A24" s="634"/>
      <c r="B24" s="634"/>
      <c r="C24" s="11" t="s">
        <v>1353</v>
      </c>
      <c r="D24" s="11">
        <v>2</v>
      </c>
      <c r="E24" s="11">
        <v>0.4</v>
      </c>
      <c r="F24" s="11">
        <f t="shared" si="1"/>
        <v>0.8</v>
      </c>
      <c r="G24" s="11">
        <v>27</v>
      </c>
      <c r="H24" s="11">
        <f t="shared" si="2"/>
        <v>21.6</v>
      </c>
      <c r="I24" s="11">
        <f>H24*2</f>
        <v>43.2</v>
      </c>
      <c r="J24" s="11" t="s">
        <v>100</v>
      </c>
      <c r="K24" s="11" t="s">
        <v>100</v>
      </c>
      <c r="L24" s="11" t="s">
        <v>100</v>
      </c>
      <c r="M24" s="3">
        <f t="shared" si="3"/>
        <v>43.2</v>
      </c>
    </row>
    <row r="25" spans="1:13">
      <c r="A25" s="634"/>
      <c r="B25" s="634"/>
      <c r="C25" s="11" t="s">
        <v>1354</v>
      </c>
      <c r="D25" s="11">
        <v>1.2</v>
      </c>
      <c r="E25" s="11">
        <v>1.26</v>
      </c>
      <c r="F25" s="11">
        <f t="shared" si="1"/>
        <v>1.512</v>
      </c>
      <c r="G25" s="11">
        <v>8</v>
      </c>
      <c r="H25" s="11">
        <f t="shared" si="2"/>
        <v>12.096</v>
      </c>
      <c r="I25" s="11">
        <f>H25*2</f>
        <v>24.192</v>
      </c>
      <c r="J25" s="11" t="s">
        <v>100</v>
      </c>
      <c r="K25" s="11" t="s">
        <v>100</v>
      </c>
      <c r="L25" s="11" t="s">
        <v>100</v>
      </c>
      <c r="M25" s="3">
        <f t="shared" si="3"/>
        <v>24.192</v>
      </c>
    </row>
    <row r="26" spans="1:13">
      <c r="A26" s="634"/>
      <c r="B26" s="634"/>
      <c r="C26" s="11" t="s">
        <v>2134</v>
      </c>
      <c r="D26" s="11">
        <v>1.5</v>
      </c>
      <c r="E26" s="11">
        <v>1.26</v>
      </c>
      <c r="F26" s="11">
        <f t="shared" si="1"/>
        <v>1.8900000000000001</v>
      </c>
      <c r="G26" s="11">
        <v>2</v>
      </c>
      <c r="H26" s="11">
        <f t="shared" si="2"/>
        <v>3.7800000000000002</v>
      </c>
      <c r="I26" s="11">
        <f>H26*2</f>
        <v>7.5600000000000005</v>
      </c>
      <c r="J26" s="11" t="s">
        <v>100</v>
      </c>
      <c r="K26" s="11" t="s">
        <v>100</v>
      </c>
      <c r="L26" s="11" t="s">
        <v>100</v>
      </c>
      <c r="M26" s="3">
        <f t="shared" si="3"/>
        <v>7.5600000000000005</v>
      </c>
    </row>
    <row r="27" spans="1:13">
      <c r="A27" s="634"/>
      <c r="B27" s="634"/>
      <c r="C27" s="11" t="s">
        <v>2133</v>
      </c>
      <c r="D27" s="11">
        <v>2</v>
      </c>
      <c r="E27" s="11">
        <v>1.26</v>
      </c>
      <c r="F27" s="11">
        <f t="shared" si="1"/>
        <v>2.52</v>
      </c>
      <c r="G27" s="11">
        <v>35</v>
      </c>
      <c r="H27" s="11">
        <f t="shared" si="2"/>
        <v>88.2</v>
      </c>
      <c r="I27" s="11">
        <f>H27</f>
        <v>88.2</v>
      </c>
      <c r="J27" s="11">
        <f>H27</f>
        <v>88.2</v>
      </c>
      <c r="K27" s="11" t="s">
        <v>100</v>
      </c>
      <c r="L27" s="11" t="s">
        <v>100</v>
      </c>
      <c r="M27" s="3">
        <f t="shared" si="3"/>
        <v>176.4</v>
      </c>
    </row>
    <row r="28" spans="1:13">
      <c r="A28" s="634"/>
      <c r="B28" s="634"/>
      <c r="C28" s="11" t="s">
        <v>2137</v>
      </c>
      <c r="D28" s="11">
        <v>2</v>
      </c>
      <c r="E28" s="11">
        <v>0.4</v>
      </c>
      <c r="F28" s="11">
        <f t="shared" si="1"/>
        <v>0.8</v>
      </c>
      <c r="G28" s="11">
        <v>3</v>
      </c>
      <c r="H28" s="11">
        <f t="shared" si="2"/>
        <v>2.4000000000000004</v>
      </c>
      <c r="I28" s="11">
        <f>H28</f>
        <v>2.4000000000000004</v>
      </c>
      <c r="J28" s="11">
        <f>H28</f>
        <v>2.4000000000000004</v>
      </c>
      <c r="K28" s="11" t="s">
        <v>100</v>
      </c>
      <c r="L28" s="11" t="s">
        <v>100</v>
      </c>
      <c r="M28" s="3">
        <f t="shared" si="3"/>
        <v>4.8000000000000007</v>
      </c>
    </row>
    <row r="29" spans="1:13">
      <c r="A29" s="634"/>
      <c r="B29" s="634"/>
      <c r="C29" s="11" t="s">
        <v>2200</v>
      </c>
      <c r="D29" s="11">
        <v>1.2</v>
      </c>
      <c r="E29" s="11">
        <v>1.26</v>
      </c>
      <c r="F29" s="11">
        <f t="shared" si="1"/>
        <v>1.512</v>
      </c>
      <c r="G29" s="11">
        <v>3</v>
      </c>
      <c r="H29" s="11">
        <f t="shared" si="2"/>
        <v>4.5359999999999996</v>
      </c>
      <c r="I29" s="11">
        <f>H29</f>
        <v>4.5359999999999996</v>
      </c>
      <c r="J29" s="11">
        <f>H29</f>
        <v>4.5359999999999996</v>
      </c>
      <c r="K29" s="11" t="s">
        <v>100</v>
      </c>
      <c r="L29" s="11" t="s">
        <v>100</v>
      </c>
      <c r="M29" s="3">
        <f t="shared" si="3"/>
        <v>9.0719999999999992</v>
      </c>
    </row>
    <row r="30" spans="1:13">
      <c r="A30" s="634"/>
      <c r="B30" s="634"/>
      <c r="C30" s="11" t="s">
        <v>2268</v>
      </c>
      <c r="D30" s="11">
        <v>1</v>
      </c>
      <c r="E30" s="11">
        <v>0.5</v>
      </c>
      <c r="F30" s="11">
        <f t="shared" si="1"/>
        <v>0.5</v>
      </c>
      <c r="G30" s="11">
        <v>2</v>
      </c>
      <c r="H30" s="11">
        <f t="shared" si="2"/>
        <v>1</v>
      </c>
      <c r="I30" s="11">
        <f>H30</f>
        <v>1</v>
      </c>
      <c r="J30" s="11">
        <f>H30</f>
        <v>1</v>
      </c>
      <c r="K30" s="11" t="s">
        <v>100</v>
      </c>
      <c r="L30" s="11" t="s">
        <v>100</v>
      </c>
      <c r="M30" s="3">
        <f t="shared" si="3"/>
        <v>2</v>
      </c>
    </row>
    <row r="31" spans="1:13">
      <c r="A31" s="634"/>
      <c r="B31" s="634"/>
      <c r="C31" s="817"/>
      <c r="D31" s="817"/>
      <c r="E31" s="817"/>
      <c r="F31" s="817"/>
      <c r="G31" s="817"/>
      <c r="H31" s="817"/>
      <c r="I31" s="817"/>
      <c r="J31" s="817"/>
      <c r="K31" s="817"/>
      <c r="L31" s="817"/>
      <c r="M31" s="817"/>
    </row>
    <row r="32" spans="1:13">
      <c r="A32" s="634"/>
      <c r="B32" s="634"/>
      <c r="C32" s="817"/>
      <c r="D32" s="817"/>
      <c r="E32" s="817"/>
      <c r="F32" s="817"/>
      <c r="G32" s="11" t="s">
        <v>2091</v>
      </c>
      <c r="H32" s="11">
        <f>SUM(H22:H30)</f>
        <v>134.65200000000002</v>
      </c>
      <c r="I32" s="817"/>
      <c r="J32" s="817"/>
      <c r="K32" s="817"/>
      <c r="L32" s="11" t="s">
        <v>2091</v>
      </c>
      <c r="M32" s="3">
        <f>SUM(M22:M30)</f>
        <v>269.30400000000003</v>
      </c>
    </row>
    <row r="33" spans="1:16">
      <c r="A33" s="634"/>
      <c r="B33" s="634"/>
      <c r="C33" s="634"/>
      <c r="D33" s="634"/>
      <c r="E33" s="634"/>
      <c r="F33" s="634"/>
      <c r="G33" s="634"/>
      <c r="H33" s="634"/>
      <c r="I33" s="634"/>
      <c r="J33" s="634"/>
      <c r="K33" s="634"/>
      <c r="L33" s="634"/>
      <c r="M33" s="634"/>
    </row>
    <row r="34" spans="1:16" ht="60">
      <c r="A34" s="634" t="s">
        <v>2267</v>
      </c>
      <c r="B34" s="634"/>
      <c r="C34" s="3" t="s">
        <v>100</v>
      </c>
      <c r="D34" s="3" t="s">
        <v>2095</v>
      </c>
      <c r="E34" s="3" t="s">
        <v>2094</v>
      </c>
      <c r="F34" s="3" t="s">
        <v>2060</v>
      </c>
      <c r="G34" s="3" t="s">
        <v>2059</v>
      </c>
      <c r="H34" s="3" t="s">
        <v>2069</v>
      </c>
      <c r="I34" s="40" t="s">
        <v>2058</v>
      </c>
      <c r="J34" s="40" t="s">
        <v>2266</v>
      </c>
      <c r="K34" s="40" t="s">
        <v>2265</v>
      </c>
      <c r="L34" s="40" t="s">
        <v>2264</v>
      </c>
      <c r="M34" s="3" t="s">
        <v>2263</v>
      </c>
    </row>
    <row r="35" spans="1:16">
      <c r="A35" s="634"/>
      <c r="B35" s="634"/>
      <c r="C35" s="11" t="s">
        <v>2198</v>
      </c>
      <c r="D35" s="11">
        <v>2</v>
      </c>
      <c r="E35" s="11">
        <v>1</v>
      </c>
      <c r="F35" s="11">
        <f>D35*E35</f>
        <v>2</v>
      </c>
      <c r="G35" s="11">
        <v>1</v>
      </c>
      <c r="H35" s="11">
        <f>F35*G35</f>
        <v>2</v>
      </c>
      <c r="I35" s="11">
        <f>H35*2</f>
        <v>4</v>
      </c>
      <c r="J35" s="3" t="s">
        <v>100</v>
      </c>
      <c r="K35" s="3" t="s">
        <v>100</v>
      </c>
      <c r="L35" s="3" t="s">
        <v>100</v>
      </c>
      <c r="M35" s="3">
        <f>SUM(I35:L35)</f>
        <v>4</v>
      </c>
    </row>
    <row r="36" spans="1:16">
      <c r="A36" s="634"/>
      <c r="B36" s="634"/>
      <c r="C36" s="11" t="s">
        <v>2197</v>
      </c>
      <c r="D36" s="11">
        <v>1.6</v>
      </c>
      <c r="E36" s="11">
        <v>0.4</v>
      </c>
      <c r="F36" s="11">
        <f>D36*E36</f>
        <v>0.64000000000000012</v>
      </c>
      <c r="G36" s="11">
        <v>2</v>
      </c>
      <c r="H36" s="11">
        <f>F36*G36</f>
        <v>1.2800000000000002</v>
      </c>
      <c r="I36" s="11">
        <f>H36*2</f>
        <v>2.5600000000000005</v>
      </c>
      <c r="J36" s="3" t="s">
        <v>100</v>
      </c>
      <c r="K36" s="3" t="s">
        <v>100</v>
      </c>
      <c r="L36" s="3" t="s">
        <v>100</v>
      </c>
      <c r="M36" s="3">
        <f>SUM(I36:L36)</f>
        <v>2.5600000000000005</v>
      </c>
    </row>
    <row r="37" spans="1:16">
      <c r="A37" s="634"/>
      <c r="B37" s="634"/>
      <c r="C37" s="11" t="s">
        <v>2262</v>
      </c>
      <c r="D37" s="11" t="s">
        <v>100</v>
      </c>
      <c r="E37" s="11" t="s">
        <v>100</v>
      </c>
      <c r="F37" s="11" t="s">
        <v>100</v>
      </c>
      <c r="G37" s="11">
        <v>2</v>
      </c>
      <c r="H37" s="11" t="s">
        <v>100</v>
      </c>
      <c r="I37" s="11" t="s">
        <v>100</v>
      </c>
      <c r="J37" s="3" t="s">
        <v>100</v>
      </c>
      <c r="K37" s="3" t="s">
        <v>100</v>
      </c>
      <c r="L37" s="3" t="s">
        <v>100</v>
      </c>
      <c r="M37" s="3">
        <f>SUM(I37:L37)</f>
        <v>0</v>
      </c>
    </row>
    <row r="38" spans="1:16">
      <c r="A38" s="634"/>
      <c r="B38" s="634"/>
      <c r="C38" s="634"/>
      <c r="D38" s="634"/>
      <c r="E38" s="634"/>
      <c r="F38" s="634"/>
      <c r="G38" s="634"/>
      <c r="H38" s="634"/>
      <c r="I38" s="634"/>
      <c r="J38" s="634"/>
      <c r="K38" s="634"/>
      <c r="L38" s="634"/>
      <c r="M38" s="634"/>
    </row>
    <row r="39" spans="1:16">
      <c r="A39" s="634"/>
      <c r="B39" s="634"/>
      <c r="C39" s="634"/>
      <c r="D39" s="634"/>
      <c r="E39" s="634"/>
      <c r="F39" s="634"/>
      <c r="G39" s="11" t="s">
        <v>2091</v>
      </c>
      <c r="H39" s="11">
        <f>SUM(H35:H37)</f>
        <v>3.2800000000000002</v>
      </c>
      <c r="I39" s="634"/>
      <c r="J39" s="634"/>
      <c r="K39" s="634"/>
      <c r="L39" s="11" t="s">
        <v>2091</v>
      </c>
      <c r="M39" s="3">
        <f>SUM(M35:M37)</f>
        <v>6.5600000000000005</v>
      </c>
    </row>
    <row r="40" spans="1:16">
      <c r="A40" s="634"/>
      <c r="B40" s="634"/>
      <c r="C40" s="11"/>
      <c r="D40" s="11"/>
      <c r="E40" s="11"/>
      <c r="F40" s="11"/>
      <c r="G40" s="11"/>
      <c r="H40" s="11"/>
    </row>
    <row r="41" spans="1:16">
      <c r="A41" s="10"/>
      <c r="B41" s="10"/>
      <c r="C41" s="11"/>
      <c r="D41" s="11"/>
      <c r="E41" s="11"/>
      <c r="F41" s="11"/>
      <c r="G41" s="11"/>
      <c r="H41" s="11"/>
    </row>
    <row r="42" spans="1:16" ht="78.75">
      <c r="A42" s="810" t="s">
        <v>2063</v>
      </c>
      <c r="B42" s="810"/>
      <c r="C42" s="396" t="s">
        <v>100</v>
      </c>
      <c r="D42" s="396" t="s">
        <v>2062</v>
      </c>
      <c r="E42" s="396" t="s">
        <v>2061</v>
      </c>
      <c r="F42" s="396" t="s">
        <v>2060</v>
      </c>
      <c r="G42" s="396" t="s">
        <v>2059</v>
      </c>
      <c r="H42" s="396" t="s">
        <v>2054</v>
      </c>
      <c r="I42" s="395" t="s">
        <v>2058</v>
      </c>
      <c r="J42" s="395" t="s">
        <v>2057</v>
      </c>
      <c r="K42" s="395" t="s">
        <v>2056</v>
      </c>
      <c r="L42" s="395" t="s">
        <v>2055</v>
      </c>
      <c r="M42" s="395" t="s">
        <v>2054</v>
      </c>
    </row>
    <row r="43" spans="1:16">
      <c r="A43" s="810"/>
      <c r="B43" s="810"/>
      <c r="C43" s="392"/>
      <c r="D43" s="392"/>
      <c r="E43" s="392"/>
      <c r="F43" s="392"/>
      <c r="G43" s="391">
        <f>SUM(G22:G30,G35:G37)</f>
        <v>88</v>
      </c>
      <c r="H43" s="391">
        <f>SUM(H32,H39)</f>
        <v>137.93200000000002</v>
      </c>
      <c r="I43" s="391">
        <f>SUM(I22:I30,I35:I37)</f>
        <v>179.72800000000004</v>
      </c>
      <c r="J43" s="391">
        <f>SUM(J22:J30,J35:J37)</f>
        <v>96.13600000000001</v>
      </c>
      <c r="K43" s="391">
        <f>SUM(K22:K30,K35:K37)</f>
        <v>0</v>
      </c>
      <c r="L43" s="391">
        <f>SUM(L22:L30,L35:L37)</f>
        <v>0</v>
      </c>
      <c r="M43" s="391">
        <f>SUM(M32,M39)</f>
        <v>275.86400000000003</v>
      </c>
    </row>
    <row r="47" spans="1:16">
      <c r="A47" s="821" t="s">
        <v>2261</v>
      </c>
      <c r="B47" s="821"/>
      <c r="C47" s="821"/>
      <c r="D47" s="821"/>
      <c r="E47" s="821"/>
      <c r="F47" s="821"/>
      <c r="G47" s="821"/>
      <c r="H47" s="821"/>
      <c r="I47" s="821"/>
      <c r="J47" s="821"/>
      <c r="K47" s="821"/>
      <c r="L47" s="821"/>
      <c r="M47" s="821"/>
      <c r="N47" s="821"/>
      <c r="O47" s="821"/>
      <c r="P47" s="821"/>
    </row>
    <row r="48" spans="1:16" ht="78.75">
      <c r="A48" s="634" t="s">
        <v>2204</v>
      </c>
      <c r="B48" s="634"/>
      <c r="C48" s="414" t="s">
        <v>2190</v>
      </c>
      <c r="D48" s="393" t="s">
        <v>2062</v>
      </c>
      <c r="E48" s="393" t="s">
        <v>2061</v>
      </c>
      <c r="F48" s="393" t="s">
        <v>2059</v>
      </c>
      <c r="G48" s="393" t="s">
        <v>2169</v>
      </c>
      <c r="H48" s="393" t="s">
        <v>2168</v>
      </c>
      <c r="I48" s="394" t="s">
        <v>2167</v>
      </c>
      <c r="J48" s="393" t="s">
        <v>2069</v>
      </c>
      <c r="K48" s="394" t="s">
        <v>2058</v>
      </c>
      <c r="L48" s="394" t="s">
        <v>2057</v>
      </c>
      <c r="M48" s="394" t="s">
        <v>2056</v>
      </c>
      <c r="N48" s="394" t="s">
        <v>2055</v>
      </c>
      <c r="O48" s="394" t="s">
        <v>2069</v>
      </c>
      <c r="P48" s="394" t="s">
        <v>2165</v>
      </c>
    </row>
    <row r="49" spans="1:16" ht="30">
      <c r="A49" s="634"/>
      <c r="B49" s="634"/>
      <c r="C49" s="11" t="s">
        <v>2182</v>
      </c>
      <c r="D49" s="11">
        <v>0.9</v>
      </c>
      <c r="E49" s="11">
        <v>2.1</v>
      </c>
      <c r="F49" s="11">
        <v>13</v>
      </c>
      <c r="G49" s="11">
        <v>0.18</v>
      </c>
      <c r="H49" s="11">
        <f>0.15*1</f>
        <v>0.15</v>
      </c>
      <c r="I49" s="11">
        <v>0</v>
      </c>
      <c r="J49" s="11">
        <f>SUM(G49:I49)*F49</f>
        <v>4.2899999999999991</v>
      </c>
      <c r="K49" s="11">
        <f>J49</f>
        <v>4.2899999999999991</v>
      </c>
      <c r="L49" s="11" t="s">
        <v>100</v>
      </c>
      <c r="M49" s="3" t="s">
        <v>100</v>
      </c>
      <c r="N49" s="11" t="s">
        <v>100</v>
      </c>
      <c r="O49" s="11">
        <f>SUM(K49:N49)</f>
        <v>4.2899999999999991</v>
      </c>
      <c r="P49" s="424" t="s">
        <v>2172</v>
      </c>
    </row>
    <row r="50" spans="1:16">
      <c r="A50" s="634"/>
      <c r="B50" s="634"/>
      <c r="C50" s="11" t="s">
        <v>2181</v>
      </c>
      <c r="D50" s="11">
        <v>2.06</v>
      </c>
      <c r="E50" s="11">
        <v>2.1</v>
      </c>
      <c r="F50" s="11">
        <v>1</v>
      </c>
      <c r="G50" s="11">
        <v>0</v>
      </c>
      <c r="H50" s="11">
        <f>(0.2*1.5)*2</f>
        <v>0.60000000000000009</v>
      </c>
      <c r="I50" s="11">
        <v>0</v>
      </c>
      <c r="J50" s="11">
        <f>SUM(G50:I50)*F50</f>
        <v>0.60000000000000009</v>
      </c>
      <c r="K50" s="11">
        <f>J50</f>
        <v>0.60000000000000009</v>
      </c>
      <c r="L50" s="11" t="s">
        <v>100</v>
      </c>
      <c r="M50" s="3" t="s">
        <v>100</v>
      </c>
      <c r="N50" s="11" t="s">
        <v>100</v>
      </c>
      <c r="O50" s="11">
        <f>SUM(K50:N50)</f>
        <v>0.60000000000000009</v>
      </c>
      <c r="P50" s="11" t="s">
        <v>2260</v>
      </c>
    </row>
    <row r="51" spans="1:16">
      <c r="A51" s="634"/>
      <c r="B51" s="634"/>
      <c r="C51" s="11" t="s">
        <v>2252</v>
      </c>
      <c r="D51" s="11">
        <v>0.9</v>
      </c>
      <c r="E51" s="11">
        <v>2.1</v>
      </c>
      <c r="F51" s="11">
        <v>29</v>
      </c>
      <c r="G51" s="11">
        <v>0</v>
      </c>
      <c r="H51" s="11">
        <f>1*0.15</f>
        <v>0.15</v>
      </c>
      <c r="I51" s="11">
        <v>0</v>
      </c>
      <c r="J51" s="11">
        <f>SUM(G51:I51)*F51</f>
        <v>4.3499999999999996</v>
      </c>
      <c r="K51" s="11">
        <f>J51</f>
        <v>4.3499999999999996</v>
      </c>
      <c r="L51" s="11" t="s">
        <v>100</v>
      </c>
      <c r="M51" s="3" t="s">
        <v>100</v>
      </c>
      <c r="N51" s="11" t="s">
        <v>100</v>
      </c>
      <c r="O51" s="11">
        <f>SUM(K51:N51)</f>
        <v>4.3499999999999996</v>
      </c>
    </row>
    <row r="52" spans="1:16" ht="15.75">
      <c r="A52" s="634"/>
      <c r="B52" s="634"/>
      <c r="E52" s="402" t="s">
        <v>2091</v>
      </c>
      <c r="F52" s="11">
        <f>SUM(F49:F51)</f>
        <v>43</v>
      </c>
      <c r="G52" s="11"/>
    </row>
    <row r="53" spans="1:16">
      <c r="A53" s="634"/>
      <c r="B53" s="634"/>
      <c r="C53" s="817"/>
      <c r="D53" s="817"/>
      <c r="E53" s="817"/>
      <c r="F53" s="817"/>
      <c r="H53" s="11"/>
      <c r="I53" s="11" t="s">
        <v>2091</v>
      </c>
      <c r="J53" s="11">
        <f>SUM(J49:J51)</f>
        <v>9.2399999999999984</v>
      </c>
      <c r="M53" s="11" t="s">
        <v>2091</v>
      </c>
      <c r="N53" s="3"/>
      <c r="O53" s="3">
        <f>SUM(O49:O51)</f>
        <v>9.2399999999999984</v>
      </c>
    </row>
    <row r="54" spans="1:16" ht="78.75">
      <c r="A54" s="831" t="s">
        <v>563</v>
      </c>
      <c r="B54" s="831"/>
      <c r="C54" s="396" t="s">
        <v>100</v>
      </c>
      <c r="D54" s="396" t="s">
        <v>2062</v>
      </c>
      <c r="E54" s="396" t="s">
        <v>2061</v>
      </c>
      <c r="F54" s="396" t="s">
        <v>2059</v>
      </c>
      <c r="G54" s="396" t="s">
        <v>2169</v>
      </c>
      <c r="H54" s="396" t="s">
        <v>2168</v>
      </c>
      <c r="I54" s="395" t="s">
        <v>2167</v>
      </c>
      <c r="J54" s="396" t="s">
        <v>2069</v>
      </c>
      <c r="K54" s="395" t="s">
        <v>2058</v>
      </c>
      <c r="L54" s="395" t="s">
        <v>2057</v>
      </c>
      <c r="M54" s="395" t="s">
        <v>2056</v>
      </c>
      <c r="N54" s="395" t="s">
        <v>2055</v>
      </c>
      <c r="O54" s="395" t="s">
        <v>2069</v>
      </c>
      <c r="P54" s="395" t="s">
        <v>2165</v>
      </c>
    </row>
    <row r="55" spans="1:16">
      <c r="A55" s="831"/>
      <c r="B55" s="831"/>
      <c r="C55" s="409"/>
      <c r="D55" s="409" t="s">
        <v>100</v>
      </c>
      <c r="E55" s="409" t="s">
        <v>100</v>
      </c>
      <c r="F55" s="409">
        <f t="shared" ref="F55:O55" si="4">SUM(F49:F51)</f>
        <v>43</v>
      </c>
      <c r="G55" s="409">
        <f t="shared" si="4"/>
        <v>0.18</v>
      </c>
      <c r="H55" s="409">
        <f t="shared" si="4"/>
        <v>0.90000000000000013</v>
      </c>
      <c r="I55" s="409">
        <f t="shared" si="4"/>
        <v>0</v>
      </c>
      <c r="J55" s="409">
        <f t="shared" si="4"/>
        <v>9.2399999999999984</v>
      </c>
      <c r="K55" s="409">
        <f t="shared" si="4"/>
        <v>9.2399999999999984</v>
      </c>
      <c r="L55" s="409">
        <f t="shared" si="4"/>
        <v>0</v>
      </c>
      <c r="M55" s="409">
        <f t="shared" si="4"/>
        <v>0</v>
      </c>
      <c r="N55" s="409">
        <f t="shared" si="4"/>
        <v>0</v>
      </c>
      <c r="O55" s="409">
        <f t="shared" si="4"/>
        <v>9.2399999999999984</v>
      </c>
      <c r="P55" s="409"/>
    </row>
  </sheetData>
  <mergeCells count="23">
    <mergeCell ref="A1:E1"/>
    <mergeCell ref="A2:A3"/>
    <mergeCell ref="A5:E5"/>
    <mergeCell ref="B13:E13"/>
    <mergeCell ref="A6:A7"/>
    <mergeCell ref="B8:E8"/>
    <mergeCell ref="A9:E10"/>
    <mergeCell ref="A11:A12"/>
    <mergeCell ref="A54:B55"/>
    <mergeCell ref="A47:P47"/>
    <mergeCell ref="A48:B53"/>
    <mergeCell ref="A20:M20"/>
    <mergeCell ref="A21:B33"/>
    <mergeCell ref="A34:B40"/>
    <mergeCell ref="C38:M38"/>
    <mergeCell ref="C39:F39"/>
    <mergeCell ref="I39:K39"/>
    <mergeCell ref="C33:M33"/>
    <mergeCell ref="C31:M31"/>
    <mergeCell ref="C32:F32"/>
    <mergeCell ref="I32:K32"/>
    <mergeCell ref="A42:B43"/>
    <mergeCell ref="C53:F53"/>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F28E8-5D24-4882-BF65-C66B7AC3A512}">
  <sheetPr>
    <tabColor rgb="FFFAA2F0"/>
    <pageSetUpPr fitToPage="1"/>
  </sheetPr>
  <dimension ref="A1:L14"/>
  <sheetViews>
    <sheetView view="pageBreakPreview" zoomScale="85" zoomScaleNormal="100" zoomScaleSheetLayoutView="85" workbookViewId="0">
      <selection activeCell="Q50" sqref="Q50"/>
    </sheetView>
  </sheetViews>
  <sheetFormatPr defaultRowHeight="15"/>
  <cols>
    <col min="1" max="1" width="8.140625" bestFit="1" customWidth="1"/>
    <col min="2" max="2" width="16.85546875" bestFit="1" customWidth="1"/>
    <col min="3" max="3" width="16.5703125" style="11" bestFit="1" customWidth="1"/>
    <col min="4" max="4" width="10.85546875" customWidth="1"/>
    <col min="5" max="5" width="17.7109375" customWidth="1"/>
    <col min="6" max="6" width="12.5703125" customWidth="1"/>
    <col min="7" max="7" width="24.42578125" customWidth="1"/>
    <col min="8" max="8" width="12.85546875" customWidth="1"/>
    <col min="9" max="9" width="10.5703125" bestFit="1" customWidth="1"/>
    <col min="10" max="10" width="24" customWidth="1"/>
    <col min="11" max="11" width="28.5703125" customWidth="1"/>
    <col min="12" max="12" width="52.7109375" bestFit="1" customWidth="1"/>
  </cols>
  <sheetData>
    <row r="1" spans="1:12" ht="15" customHeight="1">
      <c r="A1" s="626" t="s">
        <v>1275</v>
      </c>
      <c r="B1" s="627"/>
      <c r="C1" s="627"/>
      <c r="D1" s="627"/>
      <c r="E1" s="627"/>
      <c r="F1" s="627"/>
      <c r="G1" s="627"/>
      <c r="H1" s="627"/>
      <c r="I1" s="627"/>
      <c r="J1" s="627"/>
      <c r="K1" s="627"/>
      <c r="L1" s="628"/>
    </row>
    <row r="2" spans="1:12" ht="15" customHeight="1">
      <c r="A2" s="626" t="s">
        <v>1277</v>
      </c>
      <c r="B2" s="627"/>
      <c r="C2" s="627"/>
      <c r="D2" s="627"/>
      <c r="E2" s="627"/>
      <c r="F2" s="627"/>
      <c r="G2" s="627"/>
      <c r="H2" s="627"/>
      <c r="I2" s="627"/>
      <c r="J2" s="627"/>
      <c r="K2" s="627"/>
      <c r="L2" s="628"/>
    </row>
    <row r="3" spans="1:12" ht="25.5">
      <c r="A3" s="166" t="s">
        <v>1249</v>
      </c>
      <c r="B3" s="166" t="s">
        <v>1229</v>
      </c>
      <c r="C3" s="123" t="s">
        <v>1279</v>
      </c>
      <c r="D3" s="166" t="s">
        <v>2008</v>
      </c>
      <c r="E3" s="166" t="s">
        <v>1297</v>
      </c>
      <c r="F3" s="166" t="s">
        <v>1301</v>
      </c>
      <c r="G3" s="166" t="s">
        <v>1282</v>
      </c>
      <c r="H3" s="166" t="s">
        <v>1223</v>
      </c>
      <c r="I3" s="166" t="s">
        <v>1215</v>
      </c>
      <c r="J3" s="166" t="s">
        <v>1292</v>
      </c>
      <c r="K3" s="166" t="s">
        <v>1286</v>
      </c>
      <c r="L3" s="166" t="s">
        <v>1278</v>
      </c>
    </row>
    <row r="4" spans="1:12" ht="38.25">
      <c r="A4" s="167" t="s">
        <v>1222</v>
      </c>
      <c r="B4" s="167" t="s">
        <v>556</v>
      </c>
      <c r="C4" s="168" t="s">
        <v>1280</v>
      </c>
      <c r="D4" s="167">
        <v>160000</v>
      </c>
      <c r="E4" s="167" t="s">
        <v>1298</v>
      </c>
      <c r="F4" s="175">
        <v>43000</v>
      </c>
      <c r="G4" s="167" t="s">
        <v>1300</v>
      </c>
      <c r="H4" s="167" t="s">
        <v>1222</v>
      </c>
      <c r="I4" s="167" t="s">
        <v>1217</v>
      </c>
      <c r="J4" s="167" t="s">
        <v>1290</v>
      </c>
      <c r="K4" s="167" t="s">
        <v>1287</v>
      </c>
      <c r="L4" s="167" t="s">
        <v>1284</v>
      </c>
    </row>
    <row r="5" spans="1:12" ht="51">
      <c r="A5" s="167" t="s">
        <v>1222</v>
      </c>
      <c r="B5" s="167" t="s">
        <v>556</v>
      </c>
      <c r="C5" s="176" t="s">
        <v>1303</v>
      </c>
      <c r="D5" s="167">
        <v>203200</v>
      </c>
      <c r="E5" s="167" t="s">
        <v>1299</v>
      </c>
      <c r="F5" s="167" t="s">
        <v>1305</v>
      </c>
      <c r="G5" s="177" t="s">
        <v>1306</v>
      </c>
      <c r="H5" s="167" t="s">
        <v>1222</v>
      </c>
      <c r="I5" s="167" t="s">
        <v>1283</v>
      </c>
      <c r="J5" s="167" t="s">
        <v>1290</v>
      </c>
      <c r="K5" s="167" t="s">
        <v>1288</v>
      </c>
      <c r="L5" s="167" t="s">
        <v>1285</v>
      </c>
    </row>
    <row r="6" spans="1:12" ht="25.5">
      <c r="A6" s="167" t="s">
        <v>1222</v>
      </c>
      <c r="B6" s="167" t="s">
        <v>605</v>
      </c>
      <c r="C6" s="168" t="s">
        <v>1280</v>
      </c>
      <c r="D6" s="167">
        <v>161040.85999999999</v>
      </c>
      <c r="E6" s="167" t="s">
        <v>1298</v>
      </c>
      <c r="F6" s="175">
        <v>42998</v>
      </c>
      <c r="G6" s="167" t="s">
        <v>1300</v>
      </c>
      <c r="H6" s="167" t="s">
        <v>1222</v>
      </c>
      <c r="I6" s="167" t="s">
        <v>1217</v>
      </c>
      <c r="J6" s="167" t="s">
        <v>1290</v>
      </c>
      <c r="K6" s="167" t="s">
        <v>1289</v>
      </c>
      <c r="L6" s="167" t="s">
        <v>1294</v>
      </c>
    </row>
    <row r="7" spans="1:12" ht="38.25">
      <c r="A7" s="167" t="s">
        <v>1222</v>
      </c>
      <c r="B7" s="173" t="s">
        <v>574</v>
      </c>
      <c r="C7" s="168" t="s">
        <v>1280</v>
      </c>
      <c r="D7" s="167">
        <v>14248</v>
      </c>
      <c r="E7" s="167" t="s">
        <v>1307</v>
      </c>
      <c r="F7" s="175">
        <v>44539</v>
      </c>
      <c r="G7" s="167" t="s">
        <v>1300</v>
      </c>
      <c r="H7" s="167" t="s">
        <v>1222</v>
      </c>
      <c r="I7" s="167" t="s">
        <v>1217</v>
      </c>
      <c r="J7" s="167" t="s">
        <v>1291</v>
      </c>
      <c r="K7" s="167" t="s">
        <v>1291</v>
      </c>
      <c r="L7" s="167" t="s">
        <v>1295</v>
      </c>
    </row>
    <row r="8" spans="1:12" ht="63.75">
      <c r="A8" s="167" t="s">
        <v>1222</v>
      </c>
      <c r="B8" s="173" t="s">
        <v>874</v>
      </c>
      <c r="C8" s="176" t="s">
        <v>1303</v>
      </c>
      <c r="D8" s="167">
        <v>4752.82</v>
      </c>
      <c r="E8" s="167" t="s">
        <v>1302</v>
      </c>
      <c r="F8" s="175">
        <v>42670</v>
      </c>
      <c r="G8" s="167" t="s">
        <v>1304</v>
      </c>
      <c r="H8" s="167" t="s">
        <v>1222</v>
      </c>
      <c r="I8" s="167" t="s">
        <v>1217</v>
      </c>
      <c r="J8" s="167" t="s">
        <v>1291</v>
      </c>
      <c r="K8" s="167" t="s">
        <v>1291</v>
      </c>
      <c r="L8" s="167" t="s">
        <v>1296</v>
      </c>
    </row>
    <row r="9" spans="1:12" ht="38.25">
      <c r="A9" s="167" t="s">
        <v>1222</v>
      </c>
      <c r="B9" s="173" t="s">
        <v>613</v>
      </c>
      <c r="C9" s="176" t="s">
        <v>1303</v>
      </c>
      <c r="D9" s="167">
        <v>720</v>
      </c>
      <c r="E9" s="167" t="s">
        <v>2002</v>
      </c>
      <c r="F9" s="175">
        <v>44439</v>
      </c>
      <c r="G9" s="167" t="s">
        <v>2003</v>
      </c>
      <c r="H9" s="167" t="s">
        <v>1222</v>
      </c>
      <c r="I9" s="167" t="s">
        <v>1217</v>
      </c>
      <c r="J9" s="167" t="s">
        <v>1291</v>
      </c>
      <c r="K9" s="167" t="s">
        <v>1291</v>
      </c>
      <c r="L9" s="167" t="s">
        <v>2004</v>
      </c>
    </row>
    <row r="10" spans="1:12" ht="25.5">
      <c r="A10" s="167" t="s">
        <v>1222</v>
      </c>
      <c r="B10" s="173" t="s">
        <v>613</v>
      </c>
      <c r="C10" s="168" t="s">
        <v>1280</v>
      </c>
      <c r="D10" s="167">
        <v>158945</v>
      </c>
      <c r="E10" s="167" t="s">
        <v>1298</v>
      </c>
      <c r="F10" s="175">
        <v>45400</v>
      </c>
      <c r="G10" s="167" t="s">
        <v>2009</v>
      </c>
      <c r="H10" s="372">
        <v>734772.56</v>
      </c>
      <c r="I10" s="167" t="s">
        <v>1283</v>
      </c>
      <c r="J10" s="167" t="s">
        <v>1290</v>
      </c>
      <c r="K10" s="167" t="s">
        <v>2010</v>
      </c>
      <c r="L10" s="167" t="s">
        <v>2011</v>
      </c>
    </row>
    <row r="12" spans="1:12">
      <c r="A12" s="624" t="s">
        <v>2005</v>
      </c>
      <c r="B12" s="624"/>
      <c r="C12" s="624"/>
      <c r="D12" s="174">
        <f>SUM(D4:D11)</f>
        <v>702906.67999999993</v>
      </c>
    </row>
    <row r="13" spans="1:12">
      <c r="A13" s="624" t="s">
        <v>2006</v>
      </c>
      <c r="B13" s="624"/>
      <c r="C13" s="624"/>
      <c r="D13" s="174">
        <f>D4+D6+D7</f>
        <v>335288.86</v>
      </c>
    </row>
    <row r="14" spans="1:12">
      <c r="A14" t="s">
        <v>2007</v>
      </c>
    </row>
  </sheetData>
  <mergeCells count="4">
    <mergeCell ref="A1:L1"/>
    <mergeCell ref="A2:L2"/>
    <mergeCell ref="A12:C12"/>
    <mergeCell ref="A13:C13"/>
  </mergeCells>
  <phoneticPr fontId="14" type="noConversion"/>
  <pageMargins left="0.98425196850393704" right="0.51181102362204722" top="0.59055118110236227" bottom="0.59055118110236227" header="0.31496062992125984" footer="0.31496062992125984"/>
  <pageSetup paperSize="9" scale="55" fitToHeight="0" orientation="landscape" r:id="rId1"/>
  <headerFooter>
    <oddHeader>&amp;C&amp;F&amp;R&amp;A</oddHeader>
    <oddFooter>&amp;LÚLTIMA ATUALIZAÇÃO: 10/02/2025&amp;CUFCA/DINFRA - Pág &amp;P/&amp;N&amp;RSUPERVISÃO DO LEVANTAMENTO: Arq. LOUISE BARBOSA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BFC7A-46E7-4A06-B5C4-93B401D89A88}">
  <sheetPr>
    <tabColor theme="8" tint="-0.249977111117893"/>
    <pageSetUpPr fitToPage="1"/>
  </sheetPr>
  <dimension ref="A1:T110"/>
  <sheetViews>
    <sheetView workbookViewId="0">
      <selection activeCell="Q50" sqref="Q50"/>
    </sheetView>
  </sheetViews>
  <sheetFormatPr defaultRowHeight="15"/>
  <cols>
    <col min="1" max="1" width="14.28515625" bestFit="1" customWidth="1"/>
    <col min="2" max="2" width="24" bestFit="1" customWidth="1"/>
    <col min="3" max="3" width="13.28515625" customWidth="1"/>
    <col min="4" max="4" width="8.7109375" bestFit="1" customWidth="1"/>
    <col min="5" max="5" width="11.140625" bestFit="1" customWidth="1"/>
    <col min="6" max="6" width="7" bestFit="1" customWidth="1"/>
    <col min="7" max="7" width="7" customWidth="1"/>
    <col min="9" max="9" width="24.140625" bestFit="1" customWidth="1"/>
    <col min="10" max="10" width="11.42578125" bestFit="1" customWidth="1"/>
    <col min="11" max="11" width="12.140625" bestFit="1" customWidth="1"/>
    <col min="12" max="12" width="11.140625" bestFit="1" customWidth="1"/>
    <col min="13" max="13" width="7.42578125" customWidth="1"/>
    <col min="14" max="14" width="7.140625" customWidth="1"/>
    <col min="15" max="15" width="10.140625" customWidth="1"/>
    <col min="16" max="16" width="5.140625" customWidth="1"/>
    <col min="17" max="17" width="24.140625" bestFit="1" customWidth="1"/>
    <col min="18" max="18" width="11.42578125" bestFit="1" customWidth="1"/>
    <col min="19" max="19" width="6.5703125" bestFit="1" customWidth="1"/>
    <col min="20" max="20" width="11.140625" bestFit="1" customWidth="1"/>
  </cols>
  <sheetData>
    <row r="1" spans="1:20">
      <c r="A1" s="632" t="s">
        <v>873</v>
      </c>
      <c r="B1" s="632"/>
      <c r="C1" s="632"/>
      <c r="D1" s="632"/>
      <c r="E1" s="632"/>
      <c r="F1" s="632"/>
      <c r="G1" s="632"/>
      <c r="H1" s="632"/>
      <c r="I1" s="632"/>
      <c r="J1" s="632"/>
      <c r="K1" s="632"/>
      <c r="L1" s="632"/>
      <c r="M1" s="632"/>
      <c r="N1" s="632"/>
      <c r="O1" s="632"/>
      <c r="P1" s="632"/>
      <c r="Q1" s="632"/>
      <c r="R1" s="632"/>
      <c r="S1" s="632"/>
    </row>
    <row r="3" spans="1:20">
      <c r="B3" s="629" t="s">
        <v>871</v>
      </c>
      <c r="C3" s="630"/>
      <c r="D3" s="630"/>
      <c r="E3" s="631"/>
      <c r="F3" s="86"/>
      <c r="G3" s="86"/>
      <c r="I3" s="629" t="s">
        <v>871</v>
      </c>
      <c r="J3" s="630"/>
      <c r="K3" s="630"/>
      <c r="L3" s="631"/>
      <c r="M3" s="86"/>
      <c r="N3" s="86"/>
      <c r="Q3" s="629" t="s">
        <v>871</v>
      </c>
      <c r="R3" s="630"/>
      <c r="S3" s="630"/>
      <c r="T3" s="631"/>
    </row>
    <row r="4" spans="1:20">
      <c r="B4" s="632" t="s">
        <v>556</v>
      </c>
      <c r="C4" s="632"/>
      <c r="D4" s="632"/>
      <c r="E4" s="632"/>
      <c r="F4" s="86"/>
      <c r="G4" s="86"/>
      <c r="I4" s="632" t="s">
        <v>605</v>
      </c>
      <c r="J4" s="632"/>
      <c r="K4" s="632"/>
      <c r="L4" s="632"/>
      <c r="M4" s="86"/>
      <c r="N4" s="86"/>
      <c r="Q4" s="632" t="s">
        <v>574</v>
      </c>
      <c r="R4" s="632"/>
      <c r="S4" s="632"/>
      <c r="T4" s="632"/>
    </row>
    <row r="5" spans="1:20" ht="45">
      <c r="A5" s="77" t="s">
        <v>870</v>
      </c>
      <c r="B5" s="78" t="s">
        <v>69</v>
      </c>
      <c r="C5" s="78" t="s">
        <v>864</v>
      </c>
      <c r="D5" s="78" t="s">
        <v>865</v>
      </c>
      <c r="E5" s="79" t="s">
        <v>866</v>
      </c>
      <c r="F5" s="79" t="s">
        <v>877</v>
      </c>
      <c r="G5" s="79" t="s">
        <v>876</v>
      </c>
      <c r="I5" s="78" t="s">
        <v>69</v>
      </c>
      <c r="J5" s="78" t="s">
        <v>864</v>
      </c>
      <c r="K5" s="78" t="s">
        <v>865</v>
      </c>
      <c r="L5" s="79" t="s">
        <v>866</v>
      </c>
      <c r="M5" s="79" t="s">
        <v>877</v>
      </c>
      <c r="N5" s="79" t="s">
        <v>876</v>
      </c>
      <c r="Q5" s="78" t="s">
        <v>69</v>
      </c>
      <c r="R5" s="78" t="s">
        <v>864</v>
      </c>
      <c r="S5" s="78" t="s">
        <v>865</v>
      </c>
      <c r="T5" s="79" t="s">
        <v>866</v>
      </c>
    </row>
    <row r="6" spans="1:20">
      <c r="A6" s="71" t="s">
        <v>248</v>
      </c>
      <c r="B6" s="78" t="s">
        <v>867</v>
      </c>
      <c r="C6" s="48">
        <f>COUNTIF('UFCA - JN'!$I$4:$I$1007,'CPA-resumo'!A6)</f>
        <v>51</v>
      </c>
      <c r="D6" s="48">
        <f>SUMIF('UFCA - JN'!$I$4:$I$1007,'CPA-resumo'!A6,'UFCA - JN'!$L$4:$L$1007)</f>
        <v>3324.26</v>
      </c>
      <c r="E6" s="48">
        <f>SUMIF('UFCA - JN'!$I$1:$I$1007,'CPA-resumo'!A6,'UFCA - JN'!$N$1:$N$1007)</f>
        <v>2242</v>
      </c>
      <c r="I6" s="78" t="s">
        <v>867</v>
      </c>
      <c r="J6" s="48" t="e">
        <f>COUNTIF('UFCA - CR'!#REF!,'CPA-resumo'!A6)</f>
        <v>#REF!</v>
      </c>
      <c r="K6" s="48" t="e">
        <f>SUMIF('UFCA - CR'!#REF!,'CPA-resumo'!A6,'UFCA - CR'!I$62:I$200)</f>
        <v>#REF!</v>
      </c>
      <c r="L6" s="48" t="e">
        <f>SUMIF('UFCA - CR'!#REF!,'CPA-resumo'!A6,'UFCA - CR'!K$62:K$200)</f>
        <v>#REF!</v>
      </c>
      <c r="Q6" s="78" t="s">
        <v>867</v>
      </c>
      <c r="R6" s="48">
        <f>COUNTIF('UFCA - BA'!F$4:F$147,'CPA-resumo'!A6)</f>
        <v>15</v>
      </c>
      <c r="S6" s="48">
        <f>SUMIF('UFCA - BA'!F$4:F$147,'CPA-resumo'!A6,'UFCA - BA'!I$4:I$147)</f>
        <v>678.60000000000025</v>
      </c>
      <c r="T6" s="48">
        <f>SUMIF('UFCA - BA'!F$4:F$147,'CPA-resumo'!A6,'UFCA - BA'!K$4:K$147)</f>
        <v>446</v>
      </c>
    </row>
    <row r="7" spans="1:20">
      <c r="A7" s="71" t="s">
        <v>249</v>
      </c>
      <c r="B7" s="78" t="s">
        <v>868</v>
      </c>
      <c r="C7" s="48">
        <f>COUNTIF('UFCA - JN'!$I$4:$I$1007,'CPA-resumo'!A7)</f>
        <v>109</v>
      </c>
      <c r="D7" s="48">
        <f>SUMIF('UFCA - JN'!$I$4:$I$1007,'CPA-resumo'!A7,'UFCA - JN'!$L$4:$L$1007)</f>
        <v>4003.67</v>
      </c>
      <c r="E7" s="48">
        <f>SUMIF('UFCA - JN'!$I$1:$I$1007,'CPA-resumo'!A7,'UFCA - JN'!$N$1:$N$1007)</f>
        <v>890</v>
      </c>
      <c r="I7" s="78" t="s">
        <v>868</v>
      </c>
      <c r="J7" s="48" t="e">
        <f>COUNTIF('UFCA - CR'!#REF!,'CPA-resumo'!A7)</f>
        <v>#REF!</v>
      </c>
      <c r="K7" s="48" t="e">
        <f>SUMIF('UFCA - CR'!#REF!,'CPA-resumo'!A7,'UFCA - CR'!I$62:I$200)</f>
        <v>#REF!</v>
      </c>
      <c r="L7" s="48" t="e">
        <f>SUMIF('UFCA - CR'!#REF!,'CPA-resumo'!A7,'UFCA - CR'!K$62:K$200)</f>
        <v>#REF!</v>
      </c>
      <c r="Q7" s="78" t="s">
        <v>868</v>
      </c>
      <c r="R7" s="48">
        <f>COUNTIF('UFCA - BA'!F$4:F$147,'CPA-resumo'!A7)</f>
        <v>29</v>
      </c>
      <c r="S7" s="48">
        <f>SUMIF('UFCA - BA'!F$4:F$147,'CPA-resumo'!A7,'UFCA - BA'!I$4:I$147)</f>
        <v>407.78999999999991</v>
      </c>
      <c r="T7" s="48">
        <f>SUMIF('UFCA - BA'!F$4:F$147,'CPA-resumo'!A7,'UFCA - BA'!K$4:K$147)</f>
        <v>92</v>
      </c>
    </row>
    <row r="8" spans="1:20">
      <c r="A8" s="71" t="s">
        <v>596</v>
      </c>
      <c r="B8" s="78" t="s">
        <v>552</v>
      </c>
      <c r="C8" s="48">
        <f>COUNTIF('UFCA - JN'!$I$4:$I$1007,'CPA-resumo'!A8)</f>
        <v>58</v>
      </c>
      <c r="D8" s="48">
        <f>SUMIF('UFCA - JN'!$I$4:$I$1007,'CPA-resumo'!A8,'UFCA - JN'!$L$4:$L$1007)</f>
        <v>2860.6699999999992</v>
      </c>
      <c r="E8" s="48">
        <f>SUMIF('UFCA - JN'!$I$1:$I$1007,'CPA-resumo'!A8,'UFCA - JN'!$N$1:$N$1007)</f>
        <v>1134</v>
      </c>
      <c r="I8" s="78" t="s">
        <v>552</v>
      </c>
      <c r="J8" s="48" t="e">
        <f>COUNTIF('UFCA - CR'!#REF!,'CPA-resumo'!A12)+COUNTIF('UFCA - CR'!#REF!,'CPA-resumo'!A8)</f>
        <v>#REF!</v>
      </c>
      <c r="K8" s="48" t="e">
        <f>SUMIF('UFCA - CR'!#REF!,'CPA-resumo'!A12,'UFCA - CR'!I$62:I$200)+SUMIF('UFCA - CR'!#REF!,'CPA-resumo'!A8,'UFCA - CR'!I$62:I$200)</f>
        <v>#REF!</v>
      </c>
      <c r="L8" s="48" t="e">
        <f>SUMIF('UFCA - CR'!#REF!,'CPA-resumo'!A12,'UFCA - CR'!K$62:K$200)+SUMIF('UFCA - CR'!#REF!,'CPA-resumo'!A8,'UFCA - CR'!K$62:K$200)</f>
        <v>#REF!</v>
      </c>
      <c r="Q8" s="78" t="s">
        <v>552</v>
      </c>
      <c r="R8" s="48">
        <f>COUNTIF('UFCA - BA'!F$4:F$147,'CPA-resumo'!A12)+COUNTIF('UFCA - BA'!F$4:F$147,'CPA-resumo'!A8)</f>
        <v>18</v>
      </c>
      <c r="S8" s="48">
        <f>SUMIF('UFCA - BA'!F$4:F$147,'CPA-resumo'!A12,'UFCA - BA'!I$4:I$147)+SUMIF('UFCA - BA'!F$4:F$147,'CPA-resumo'!A8,'UFCA - BA'!I$4:I$147)</f>
        <v>769.02</v>
      </c>
      <c r="T8" s="48">
        <f>SUMIF('UFCA - BA'!F$4:F$147,'CPA-resumo'!A12,'UFCA - BA'!K$4:K$147)+SUMIF('UFCA - BA'!F$4:F$147,'CPA-resumo'!A8,'UFCA - BA'!K$4:K$147)</f>
        <v>295</v>
      </c>
    </row>
    <row r="9" spans="1:20">
      <c r="A9" s="71" t="s">
        <v>208</v>
      </c>
      <c r="B9" s="78" t="s">
        <v>869</v>
      </c>
      <c r="C9" s="48">
        <f>COUNTIF('UFCA - JN'!$I$4:$I$1007,'CPA-resumo'!A9)</f>
        <v>117</v>
      </c>
      <c r="D9" s="48">
        <f>SUMIF('UFCA - JN'!$I$4:$I$1007,'CPA-resumo'!A9,'UFCA - JN'!$L$4:$L$1007)</f>
        <v>1886.5100000000016</v>
      </c>
      <c r="E9" s="48">
        <f>SUMIF('UFCA - JN'!$I$1:$I$1007,'CPA-resumo'!A9,'UFCA - JN'!$N$1:$N$1007)</f>
        <v>276</v>
      </c>
      <c r="I9" s="78" t="s">
        <v>869</v>
      </c>
      <c r="J9" s="48" t="e">
        <f>COUNTIF('UFCA - CR'!#REF!,'CPA-resumo'!A9)</f>
        <v>#REF!</v>
      </c>
      <c r="K9" s="48" t="e">
        <f>SUMIF('UFCA - CR'!#REF!,'CPA-resumo'!A9,'UFCA - CR'!I$62:I$200)</f>
        <v>#REF!</v>
      </c>
      <c r="L9" s="48" t="e">
        <f>SUMIF('UFCA - CR'!#REF!,'CPA-resumo'!A9,'UFCA - CR'!K$62:K$200)</f>
        <v>#REF!</v>
      </c>
      <c r="Q9" s="78" t="s">
        <v>869</v>
      </c>
      <c r="R9" s="85">
        <f>COUNTIF('UFCA - BA'!F$4:F$147,'CPA-resumo'!A9)</f>
        <v>0</v>
      </c>
      <c r="S9" s="85">
        <f>SUMIF('UFCA - BA'!F$4:F$147,'CPA-resumo'!A9,'UFCA - BA'!I$4:I$147)</f>
        <v>0</v>
      </c>
      <c r="T9" s="85">
        <f>SUMIF('UFCA - BA'!F$4:F$147,'CPA-resumo'!A9,'UFCA - BA'!K$4:K$147)</f>
        <v>0</v>
      </c>
    </row>
    <row r="10" spans="1:20">
      <c r="A10" s="71" t="s">
        <v>109</v>
      </c>
      <c r="B10" s="78" t="s">
        <v>109</v>
      </c>
      <c r="C10" s="48">
        <f>COUNTIF('UFCA - JN'!$I$4:$I$1007,'CPA-resumo'!A10)</f>
        <v>12</v>
      </c>
      <c r="D10" s="48">
        <f>SUMIF('UFCA - JN'!$I$4:$I$1007,'CPA-resumo'!A10,'UFCA - JN'!$L$4:$L$1007)</f>
        <v>397.96000000000004</v>
      </c>
      <c r="E10" s="48">
        <f>SUMIF('UFCA - JN'!$I$1:$I$1007,'CPA-resumo'!A10,'UFCA - JN'!$N$1:$N$1007)</f>
        <v>123</v>
      </c>
      <c r="I10" s="78" t="s">
        <v>109</v>
      </c>
      <c r="J10" s="48" t="e">
        <f>COUNTIF('UFCA - CR'!#REF!,'CPA-resumo'!A10)</f>
        <v>#REF!</v>
      </c>
      <c r="K10" s="48" t="e">
        <f>SUMIF('UFCA - CR'!#REF!,'CPA-resumo'!A10,'UFCA - CR'!I$62:I$200)</f>
        <v>#REF!</v>
      </c>
      <c r="L10" s="48" t="e">
        <f>SUMIF('UFCA - CR'!#REF!,'CPA-resumo'!A10,'UFCA - CR'!K$62:K$200)</f>
        <v>#REF!</v>
      </c>
      <c r="Q10" s="78" t="s">
        <v>109</v>
      </c>
      <c r="R10" s="48">
        <f>COUNTIF('UFCA - BA'!F$4:F$147,'CPA-resumo'!A10)</f>
        <v>1</v>
      </c>
      <c r="S10" s="48">
        <f>SUMIF('UFCA - BA'!F$4:F$147,'CPA-resumo'!A10,'UFCA - BA'!I$4:I$147)</f>
        <v>360.75</v>
      </c>
      <c r="T10" s="48">
        <f>SUMIF('UFCA - BA'!F$4:F$147,'CPA-resumo'!A10,'UFCA - BA'!K$4:K$147)</f>
        <v>70</v>
      </c>
    </row>
    <row r="11" spans="1:20">
      <c r="A11" s="71" t="s">
        <v>1313</v>
      </c>
      <c r="B11" s="78" t="s">
        <v>113</v>
      </c>
      <c r="C11" s="48">
        <f>COUNTIF('UFCA - JN'!$I$4:$I$1007,'CPA-resumo'!A11)</f>
        <v>3</v>
      </c>
      <c r="D11" s="48">
        <f>SUMIF('UFCA - JN'!$I$4:$I$1007,'CPA-resumo'!A11,'UFCA - JN'!$L$4:$L$1007)</f>
        <v>947.67</v>
      </c>
      <c r="E11" s="48">
        <f>SUMIF('UFCA - JN'!$I$1:$I$1007,'CPA-resumo'!A11,'UFCA - JN'!$N$1:$N$1007)</f>
        <v>740</v>
      </c>
      <c r="I11" s="78" t="s">
        <v>113</v>
      </c>
      <c r="J11" s="48">
        <v>1</v>
      </c>
      <c r="K11" s="48">
        <v>382.9</v>
      </c>
      <c r="L11" s="48">
        <v>186</v>
      </c>
      <c r="Q11" s="78" t="s">
        <v>113</v>
      </c>
      <c r="R11" s="48">
        <v>1</v>
      </c>
      <c r="S11" s="49">
        <f>'UFCA - BA'!I53</f>
        <v>163</v>
      </c>
      <c r="T11" s="49">
        <f>'UFCA - BA'!K53</f>
        <v>72</v>
      </c>
    </row>
    <row r="12" spans="1:20">
      <c r="A12" s="71" t="s">
        <v>593</v>
      </c>
      <c r="B12" s="78" t="s">
        <v>872</v>
      </c>
      <c r="C12" s="48">
        <f>COUNTIF('UFCA - JN'!$I$4:$I$1007,'CPA-resumo'!A12)</f>
        <v>34</v>
      </c>
      <c r="D12" s="48">
        <f>SUMIF('UFCA - JN'!$I$4:$I$1007,'CPA-resumo'!A12,'UFCA - JN'!$L$4:$L$1007)</f>
        <v>1598.6200000000003</v>
      </c>
      <c r="E12" s="48">
        <f>SUMIF('UFCA - JN'!$I$1:$I$1007,'CPA-resumo'!A12,'UFCA - JN'!$N$1:$N$1007)</f>
        <v>529</v>
      </c>
      <c r="I12" s="78" t="s">
        <v>872</v>
      </c>
      <c r="J12" s="48">
        <v>1</v>
      </c>
      <c r="K12" s="49">
        <f>D12</f>
        <v>1598.6200000000003</v>
      </c>
      <c r="L12" s="48">
        <f>200*J12</f>
        <v>200</v>
      </c>
      <c r="Q12" s="78" t="s">
        <v>175</v>
      </c>
      <c r="R12" s="48">
        <f>COUNTIF('UFCA - BA'!F$4:F$147,'CPA-resumo'!A18)</f>
        <v>17</v>
      </c>
      <c r="S12" s="48">
        <f>SUMIF('UFCA - BA'!F$4:F$147,'CPA-resumo'!A18,'UFCA - BA'!I$4:I$147)</f>
        <v>593.72</v>
      </c>
      <c r="T12" s="48">
        <f>SUMIF('UFCA - BA'!F$4:F$147,'CPA-resumo'!A18,'UFCA - BA'!K$4:K$147)</f>
        <v>156</v>
      </c>
    </row>
    <row r="13" spans="1:20" ht="45">
      <c r="A13" s="71" t="s">
        <v>1364</v>
      </c>
      <c r="B13" s="79" t="s">
        <v>1883</v>
      </c>
      <c r="C13" s="48">
        <f>COUNTIF('UFCA - JN'!$I$4:$I$1007,'CPA-resumo'!A14)+COUNTIF('UFCA - JN'!$I$4:$I$1007,'CPA-resumo'!A13)</f>
        <v>143</v>
      </c>
      <c r="D13" s="48">
        <f>SUMIF('UFCA - JN'!$I$4:$I$1007,'CPA-resumo'!A14,'UFCA - JN'!$L$4:$L$1007)+SUMIF('UFCA - JN'!$I$4:$I$1007,'CPA-resumo'!A13,'UFCA - JN'!$L$4:$L$1007)</f>
        <v>2578.059999999994</v>
      </c>
      <c r="E13" s="48">
        <f>SUMIF('UFCA - JN'!$I$4:$I$1007,'CPA-resumo'!A14,'UFCA - JN'!N$1:N$1007)+SUMIF('UFCA - JN'!$I$4:$I$1007,'CPA-resumo'!A13,'UFCA - JN'!N$1:N$1007)</f>
        <v>494</v>
      </c>
      <c r="I13" s="78"/>
      <c r="J13" s="48"/>
      <c r="K13" s="49"/>
      <c r="L13" s="48"/>
      <c r="Q13" s="78"/>
      <c r="R13" s="48"/>
      <c r="S13" s="48"/>
      <c r="T13" s="48"/>
    </row>
    <row r="14" spans="1:20">
      <c r="A14" s="71" t="s">
        <v>1371</v>
      </c>
      <c r="B14" s="78"/>
      <c r="C14" s="48"/>
      <c r="D14" s="49"/>
      <c r="E14" s="48"/>
      <c r="I14" s="78"/>
      <c r="J14" s="48"/>
      <c r="K14" s="49"/>
      <c r="L14" s="48"/>
      <c r="Q14" s="78"/>
      <c r="R14" s="48"/>
      <c r="S14" s="48"/>
      <c r="T14" s="48"/>
    </row>
    <row r="15" spans="1:20">
      <c r="A15" s="71"/>
      <c r="B15" s="78"/>
      <c r="C15" s="48"/>
      <c r="D15" s="49"/>
      <c r="E15" s="48"/>
      <c r="I15" s="78"/>
      <c r="J15" s="48"/>
      <c r="K15" s="49"/>
      <c r="L15" s="48"/>
      <c r="Q15" s="78"/>
      <c r="R15" s="48"/>
      <c r="S15" s="48"/>
      <c r="T15" s="48"/>
    </row>
    <row r="16" spans="1:20">
      <c r="A16" s="71"/>
      <c r="B16" s="87" t="s">
        <v>615</v>
      </c>
      <c r="C16" s="88"/>
      <c r="D16" s="88"/>
      <c r="E16" s="88"/>
      <c r="F16" s="88">
        <v>290</v>
      </c>
      <c r="G16" s="88">
        <v>162</v>
      </c>
      <c r="I16" s="87" t="s">
        <v>615</v>
      </c>
      <c r="J16" s="88"/>
      <c r="K16" s="88"/>
      <c r="L16" s="88"/>
      <c r="M16" s="88"/>
      <c r="N16" s="88">
        <v>25</v>
      </c>
      <c r="Q16" s="87" t="s">
        <v>615</v>
      </c>
      <c r="R16" s="88">
        <v>0</v>
      </c>
      <c r="S16" s="88"/>
      <c r="T16" s="88"/>
    </row>
    <row r="17" spans="1:20">
      <c r="A17" s="71"/>
    </row>
    <row r="18" spans="1:20">
      <c r="A18" s="71" t="s">
        <v>175</v>
      </c>
    </row>
    <row r="19" spans="1:20">
      <c r="A19" s="71"/>
    </row>
    <row r="20" spans="1:20">
      <c r="A20" s="71"/>
      <c r="I20" s="629" t="s">
        <v>871</v>
      </c>
      <c r="J20" s="630"/>
      <c r="K20" s="630"/>
      <c r="L20" s="631"/>
      <c r="M20" s="86"/>
      <c r="N20" s="86"/>
      <c r="Q20" s="629" t="s">
        <v>871</v>
      </c>
      <c r="R20" s="630"/>
      <c r="S20" s="630"/>
      <c r="T20" s="631"/>
    </row>
    <row r="21" spans="1:20">
      <c r="A21" s="71"/>
      <c r="I21" s="632" t="s">
        <v>874</v>
      </c>
      <c r="J21" s="632"/>
      <c r="K21" s="632"/>
      <c r="L21" s="632"/>
      <c r="M21" s="86"/>
      <c r="N21" s="86"/>
      <c r="Q21" s="632" t="s">
        <v>815</v>
      </c>
      <c r="R21" s="632"/>
      <c r="S21" s="632"/>
      <c r="T21" s="632"/>
    </row>
    <row r="22" spans="1:20" ht="30">
      <c r="A22" s="71"/>
      <c r="I22" s="78" t="s">
        <v>69</v>
      </c>
      <c r="J22" s="78" t="s">
        <v>864</v>
      </c>
      <c r="K22" s="78" t="s">
        <v>865</v>
      </c>
      <c r="L22" s="79" t="s">
        <v>866</v>
      </c>
      <c r="M22" s="79" t="s">
        <v>877</v>
      </c>
      <c r="N22" s="79" t="s">
        <v>876</v>
      </c>
      <c r="O22" s="79" t="s">
        <v>878</v>
      </c>
      <c r="Q22" s="78" t="s">
        <v>69</v>
      </c>
      <c r="R22" s="78" t="s">
        <v>864</v>
      </c>
      <c r="S22" s="78" t="s">
        <v>865</v>
      </c>
      <c r="T22" s="79" t="s">
        <v>866</v>
      </c>
    </row>
    <row r="23" spans="1:20">
      <c r="A23" s="71"/>
      <c r="I23" s="78" t="s">
        <v>867</v>
      </c>
      <c r="J23" s="48">
        <f>COUNTIF('UFCA - BS'!F$4:F$69,'CPA-resumo'!A6)</f>
        <v>13</v>
      </c>
      <c r="K23" s="48">
        <f>SUMIF('UFCA - BS'!F$4:F$69,A6,'UFCA - BS'!I$4:I$69)</f>
        <v>631.77</v>
      </c>
      <c r="L23" s="48">
        <f>SUMIF('UFCA - BS'!F$4:F$69,A6,'UFCA - BS'!K$4:K$69)</f>
        <v>447</v>
      </c>
      <c r="Q23" s="78" t="s">
        <v>868</v>
      </c>
      <c r="R23" s="48" t="e">
        <f>COUNTIF(#REF!,'CPA-resumo'!A7)</f>
        <v>#REF!</v>
      </c>
      <c r="S23" s="48" t="e">
        <f>SUMIF(#REF!,'CPA-resumo'!A7,#REF!)</f>
        <v>#REF!</v>
      </c>
      <c r="T23" s="48" t="e">
        <f>SUMIF(#REF!,'CPA-resumo'!A7,#REF!)</f>
        <v>#REF!</v>
      </c>
    </row>
    <row r="24" spans="1:20">
      <c r="I24" s="78" t="s">
        <v>868</v>
      </c>
      <c r="J24" s="48">
        <f>COUNTIF('UFCA - BS'!F$4:F$69,'CPA-resumo'!A7)</f>
        <v>9</v>
      </c>
      <c r="K24" s="48">
        <f>SUMIF('UFCA - BS'!F$4:F$69,A7,'UFCA - BS'!I$4:I$69)</f>
        <v>133.69</v>
      </c>
      <c r="L24" s="48">
        <f>SUMIF('UFCA - BS'!F$4:F$69,A7,'UFCA - BS'!K$4:K$69)</f>
        <v>44</v>
      </c>
      <c r="Q24" s="78" t="s">
        <v>113</v>
      </c>
      <c r="R24" s="48">
        <v>1</v>
      </c>
      <c r="S24" s="49" t="e">
        <f>#REF!</f>
        <v>#REF!</v>
      </c>
      <c r="T24" s="49" t="e">
        <f>#REF!</f>
        <v>#REF!</v>
      </c>
    </row>
    <row r="25" spans="1:20">
      <c r="I25" s="78" t="s">
        <v>552</v>
      </c>
      <c r="J25" s="48">
        <f>COUNTIF('UFCA - BS'!F$4:F$69,'CPA-resumo'!A12)+COUNTIF('UFCA - BS'!F$4:F$69,'CPA-resumo'!A8)</f>
        <v>10</v>
      </c>
      <c r="K25" s="48">
        <f>SUMIF('UFCA - BS'!F$4:F$69,A12,'UFCA - BS'!I$4:I$69)+SUMIF('UFCA - BS'!F$4:F$69,A8,'UFCA - BS'!I$4:I$69)</f>
        <v>351.05</v>
      </c>
      <c r="L25" s="48">
        <f>SUMIF('UFCA - BS'!F$4:F$69,A12,'UFCA - BS'!K$4:K$69)+SUMIF('UFCA - BS'!F$4:F$69,A8,'UFCA - BS'!K$4:K$69)</f>
        <v>172</v>
      </c>
      <c r="Q25" s="48"/>
      <c r="R25" s="48"/>
      <c r="S25" s="48"/>
      <c r="T25" s="48"/>
    </row>
    <row r="26" spans="1:20">
      <c r="I26" s="78" t="s">
        <v>869</v>
      </c>
      <c r="J26" s="48">
        <f>COUNTIF('UFCA - BS'!F$4:F$69,'CPA-resumo'!A9)</f>
        <v>7</v>
      </c>
      <c r="K26" s="48">
        <f>SUMIF('UFCA - BS'!F$4:F$69,A9,'UFCA - BS'!I$4:I$69)</f>
        <v>81.850000000000009</v>
      </c>
      <c r="L26" s="48">
        <f>SUMIF('UFCA - BS'!F$4:F$69,A9,'UFCA - BS'!K$4:K$69)</f>
        <v>25</v>
      </c>
    </row>
    <row r="27" spans="1:20">
      <c r="I27" s="78" t="s">
        <v>109</v>
      </c>
      <c r="J27" s="48">
        <v>1</v>
      </c>
      <c r="K27" s="48">
        <f>SUM('UFCA - BS'!I26:I28)</f>
        <v>97.58</v>
      </c>
      <c r="L27" s="48">
        <f>SUM('UFCA - BS'!K26:K28)</f>
        <v>30</v>
      </c>
    </row>
    <row r="28" spans="1:20">
      <c r="I28" s="78" t="s">
        <v>113</v>
      </c>
      <c r="J28" s="48">
        <v>1</v>
      </c>
      <c r="K28" s="49">
        <v>60</v>
      </c>
      <c r="L28" s="49">
        <v>25</v>
      </c>
      <c r="M28" s="2"/>
      <c r="N28" s="2"/>
    </row>
    <row r="29" spans="1:20">
      <c r="I29" s="89" t="s">
        <v>875</v>
      </c>
      <c r="J29" s="48">
        <v>1</v>
      </c>
      <c r="K29" s="48">
        <v>47.11</v>
      </c>
      <c r="L29" s="48">
        <v>30</v>
      </c>
    </row>
    <row r="30" spans="1:20">
      <c r="I30" s="87" t="s">
        <v>615</v>
      </c>
      <c r="J30" s="88"/>
      <c r="K30" s="88"/>
      <c r="L30" s="88"/>
      <c r="M30" s="88">
        <v>30</v>
      </c>
      <c r="N30" s="88">
        <v>40</v>
      </c>
      <c r="O30" s="88">
        <v>56</v>
      </c>
    </row>
    <row r="33" spans="2:10">
      <c r="I33" s="78" t="s">
        <v>867</v>
      </c>
      <c r="J33" t="e">
        <f>SUM(C6+J6+R6+J23)</f>
        <v>#REF!</v>
      </c>
    </row>
    <row r="34" spans="2:10">
      <c r="I34" s="78" t="s">
        <v>868</v>
      </c>
      <c r="J34" t="e">
        <f>SUM(C7+J7+R7+J24+R23)</f>
        <v>#REF!</v>
      </c>
    </row>
    <row r="35" spans="2:10">
      <c r="I35" s="78" t="s">
        <v>552</v>
      </c>
      <c r="J35" t="e">
        <f>SUM(C8+J8+R8+J25)</f>
        <v>#REF!</v>
      </c>
    </row>
    <row r="36" spans="2:10">
      <c r="I36" s="78" t="s">
        <v>869</v>
      </c>
      <c r="J36" t="e">
        <f>SUM(C9+J9+R9+J26)</f>
        <v>#REF!</v>
      </c>
    </row>
    <row r="37" spans="2:10">
      <c r="I37" s="78" t="s">
        <v>109</v>
      </c>
      <c r="J37" t="e">
        <f>SUM(C10+J10+R10+J27)</f>
        <v>#REF!</v>
      </c>
    </row>
    <row r="38" spans="2:10">
      <c r="I38" s="78" t="s">
        <v>113</v>
      </c>
      <c r="J38">
        <f>SUM(C11+J11+R11+J28)</f>
        <v>6</v>
      </c>
    </row>
    <row r="39" spans="2:10">
      <c r="I39" s="89" t="s">
        <v>875</v>
      </c>
    </row>
    <row r="40" spans="2:10">
      <c r="I40" s="87" t="s">
        <v>615</v>
      </c>
    </row>
    <row r="42" spans="2:10">
      <c r="B42" s="292" t="s">
        <v>1362</v>
      </c>
    </row>
    <row r="43" spans="2:10">
      <c r="B43" s="78" t="s">
        <v>1884</v>
      </c>
      <c r="C43" s="78"/>
    </row>
    <row r="44" spans="2:10">
      <c r="B44" s="78"/>
      <c r="C44" s="78" t="s">
        <v>1889</v>
      </c>
    </row>
    <row r="45" spans="2:10">
      <c r="B45" s="78" t="s">
        <v>1858</v>
      </c>
      <c r="C45" s="78">
        <f>SUMIF('UFCA - JN'!$G$4:$G$1007,'CPA-resumo'!B45,'UFCA - JN'!$L$4:$L$1007)</f>
        <v>3765.5699999999993</v>
      </c>
    </row>
    <row r="46" spans="2:10">
      <c r="B46" s="78" t="s">
        <v>1859</v>
      </c>
      <c r="C46" s="78">
        <f>SUMIF('UFCA - JN'!$G$4:$G$1007,'CPA-resumo'!B46,'UFCA - JN'!$L$4:$L$1007)</f>
        <v>3103.9899999999966</v>
      </c>
    </row>
    <row r="47" spans="2:10">
      <c r="B47" s="78" t="s">
        <v>1879</v>
      </c>
      <c r="C47" s="78">
        <f>SUMIF('UFCA - JN'!$G$4:$G$1007,'CPA-resumo'!B47,'UFCA - JN'!$L$4:$L$1007)</f>
        <v>1294.9199999999994</v>
      </c>
    </row>
    <row r="48" spans="2:10">
      <c r="B48" s="78" t="s">
        <v>1885</v>
      </c>
      <c r="C48" s="78">
        <f>SUMIF('UFCA - CR'!$E$4:$E$194,'CPA-resumo'!B48,'UFCA - CR'!$I$4:$I$194)</f>
        <v>3310.9399999999996</v>
      </c>
    </row>
    <row r="49" spans="2:5">
      <c r="B49" s="78" t="s">
        <v>1886</v>
      </c>
      <c r="C49" s="78">
        <f>SUMIF('UFCA - BA'!$E$4:$E$502,'CPA-resumo'!B49,'UFCA - BA'!$I$4:$I$502)</f>
        <v>4044.1600000000008</v>
      </c>
    </row>
    <row r="50" spans="2:5">
      <c r="B50" s="78" t="s">
        <v>1887</v>
      </c>
      <c r="C50" s="78">
        <f>SUMIF('UFCA - BS'!$E$4:$E$499,'CPA-resumo'!B50,'UFCA - BS'!$I$4:$I$499)</f>
        <v>1192.76</v>
      </c>
    </row>
    <row r="51" spans="2:5">
      <c r="B51" s="78" t="s">
        <v>1599</v>
      </c>
      <c r="C51" s="78">
        <f>SUMIF('UFCA - ICÓ (SPU)'!$E$4:$E$36,'CPA-resumo'!B51,'UFCA - ICÓ (SPU)'!$I$4:$I$36)</f>
        <v>149.94000000000003</v>
      </c>
    </row>
    <row r="52" spans="2:5" ht="50.25" customHeight="1">
      <c r="B52" s="293" t="s">
        <v>1898</v>
      </c>
      <c r="C52" s="293"/>
    </row>
    <row r="53" spans="2:5" ht="44.25" customHeight="1">
      <c r="B53" s="293" t="s">
        <v>1890</v>
      </c>
      <c r="C53" s="293"/>
    </row>
    <row r="54" spans="2:5" ht="77.25" customHeight="1">
      <c r="B54" s="293" t="s">
        <v>1897</v>
      </c>
      <c r="C54" s="293"/>
    </row>
    <row r="57" spans="2:5">
      <c r="B57" s="292" t="s">
        <v>366</v>
      </c>
      <c r="C57" s="48"/>
      <c r="E57" s="292" t="s">
        <v>248</v>
      </c>
    </row>
    <row r="58" spans="2:5">
      <c r="B58" s="78" t="s">
        <v>1229</v>
      </c>
      <c r="C58" s="78" t="s">
        <v>1889</v>
      </c>
    </row>
    <row r="59" spans="2:5">
      <c r="B59" s="48" t="s">
        <v>1892</v>
      </c>
      <c r="C59" s="48">
        <f>SUMIF('UFCA - JN'!$I$4:$I$1007,E57,'UFCA - JN'!$L$4:$L$1007)</f>
        <v>3324.26</v>
      </c>
    </row>
    <row r="60" spans="2:5">
      <c r="B60" s="48" t="s">
        <v>1893</v>
      </c>
      <c r="C60" s="48">
        <f>SUMIF('UFCA - CR'!$F$4:$F$1001,E57,'UFCA - CR'!$I$4:$I$1001)</f>
        <v>1062.8599999999999</v>
      </c>
    </row>
    <row r="61" spans="2:5">
      <c r="B61" s="48" t="s">
        <v>1894</v>
      </c>
      <c r="C61" s="48">
        <f>SUMIF('UFCA - BA'!$F$4:$F$1002,E57,'UFCA - BA'!$I$4:$I$1002)</f>
        <v>1169.9500000000003</v>
      </c>
    </row>
    <row r="62" spans="2:5">
      <c r="B62" s="48" t="s">
        <v>1895</v>
      </c>
      <c r="C62" s="48">
        <f>SUMIF('UFCA - BS'!$F$4:$F$999,E57,'UFCA - BS'!$I$4:$I$999)</f>
        <v>631.77</v>
      </c>
    </row>
    <row r="65" spans="2:3">
      <c r="B65" s="292" t="s">
        <v>1891</v>
      </c>
      <c r="C65" s="48"/>
    </row>
    <row r="66" spans="2:3">
      <c r="B66" s="78" t="s">
        <v>1229</v>
      </c>
      <c r="C66" s="78" t="s">
        <v>1889</v>
      </c>
    </row>
    <row r="67" spans="2:3">
      <c r="B67" s="48" t="s">
        <v>1892</v>
      </c>
      <c r="C67" s="48">
        <f>SUMIF('UFCA - JN'!$I$4:$I$1007,"Circulação",'UFCA - JN'!$L$4:$L$1007)</f>
        <v>8749.239999999998</v>
      </c>
    </row>
    <row r="68" spans="2:3">
      <c r="B68" s="48" t="s">
        <v>1893</v>
      </c>
      <c r="C68" s="48">
        <f>SUMIF('UFCA - CR'!$F$4:$F$1001,"Circulação",'UFCA - CR'!$I$4:$I$1001)</f>
        <v>3577.1600000000003</v>
      </c>
    </row>
    <row r="69" spans="2:3">
      <c r="B69" s="48" t="s">
        <v>1894</v>
      </c>
      <c r="C69" s="48">
        <f>SUMIF('UFCA - BA'!$F$4:$F$1002,"Circulação",'UFCA - BA'!$I$4:$I$1002)</f>
        <v>1712.4800000000002</v>
      </c>
    </row>
    <row r="70" spans="2:3">
      <c r="B70" s="48" t="s">
        <v>1895</v>
      </c>
      <c r="C70" s="48">
        <f>SUMIF('UFCA - BS'!$F$4:$F$999,"Circulação",'UFCA - BS'!$I$4:$I$999)</f>
        <v>694.72</v>
      </c>
    </row>
    <row r="73" spans="2:3">
      <c r="B73" s="292" t="s">
        <v>192</v>
      </c>
    </row>
    <row r="74" spans="2:3">
      <c r="B74" s="78" t="s">
        <v>1229</v>
      </c>
      <c r="C74" s="78" t="s">
        <v>1889</v>
      </c>
    </row>
    <row r="75" spans="2:3">
      <c r="B75" s="48" t="s">
        <v>1892</v>
      </c>
      <c r="C75" s="48">
        <f>SUMIF('UFCA - JN'!$I$4:$I$1007,B73,'UFCA - JN'!$L$4:$L$1007)</f>
        <v>1575.8199999999981</v>
      </c>
    </row>
    <row r="76" spans="2:3">
      <c r="B76" s="48" t="s">
        <v>1893</v>
      </c>
      <c r="C76" s="48">
        <f>SUMIF('UFCA - CR'!$F$4:$F$1001,B73,'UFCA - CR'!$I$4:$I$1001)</f>
        <v>509.92</v>
      </c>
    </row>
    <row r="77" spans="2:3">
      <c r="B77" s="48" t="s">
        <v>1894</v>
      </c>
      <c r="C77" s="48">
        <f>SUMIF('UFCA - BA'!$F$4:$F$1002,B73,'UFCA - BA'!$I$4:$I$1002)</f>
        <v>312.60000000000008</v>
      </c>
    </row>
    <row r="78" spans="2:3">
      <c r="B78" s="48" t="s">
        <v>1895</v>
      </c>
      <c r="C78" s="48">
        <f>SUMIF('UFCA - BS'!$F$4:$F$999,B73,'UFCA - BS'!$I$4:$I$999)</f>
        <v>155.20999999999998</v>
      </c>
    </row>
    <row r="81" spans="2:3">
      <c r="B81" s="292" t="s">
        <v>602</v>
      </c>
    </row>
    <row r="82" spans="2:3">
      <c r="B82" s="78" t="s">
        <v>1229</v>
      </c>
      <c r="C82" s="78" t="s">
        <v>1889</v>
      </c>
    </row>
    <row r="83" spans="2:3">
      <c r="B83" s="48" t="s">
        <v>1892</v>
      </c>
      <c r="C83" s="48">
        <f>SUMIF('UFCA - JN'!$I$4:$I$1007,B81,'UFCA - JN'!$L$4:$L$1007)</f>
        <v>15404.362700000001</v>
      </c>
    </row>
    <row r="84" spans="2:3">
      <c r="B84" s="48" t="s">
        <v>1893</v>
      </c>
      <c r="C84" s="48">
        <f>SUMIF('UFCA - CR'!$F$4:$F$1001,B81,'UFCA - CR'!$I$4:$I$1001)</f>
        <v>4167.3</v>
      </c>
    </row>
    <row r="85" spans="2:3">
      <c r="B85" s="48" t="s">
        <v>1894</v>
      </c>
      <c r="C85" s="48">
        <f>SUMIF('UFCA - BA'!$F$4:$F$1002,B81,'UFCA - BA'!$I$4:$I$1002)</f>
        <v>1740.42</v>
      </c>
    </row>
    <row r="86" spans="2:3">
      <c r="B86" s="48" t="s">
        <v>1895</v>
      </c>
      <c r="C86" s="48">
        <f>SUMIF('UFCA - BS'!$F$4:$F$999,B81,'UFCA - BS'!$I$4:$I$999)</f>
        <v>566.15</v>
      </c>
    </row>
    <row r="89" spans="2:3">
      <c r="B89" s="292" t="s">
        <v>619</v>
      </c>
    </row>
    <row r="90" spans="2:3">
      <c r="B90" s="78" t="s">
        <v>1229</v>
      </c>
      <c r="C90" s="78" t="s">
        <v>1889</v>
      </c>
    </row>
    <row r="91" spans="2:3">
      <c r="B91" s="48" t="s">
        <v>1892</v>
      </c>
      <c r="C91" s="48">
        <f>SUMIF('UFCA - JN'!$I$4:$I$1007,B89,'UFCA - JN'!$L$4:$L$1007)</f>
        <v>10876.414500000001</v>
      </c>
    </row>
    <row r="92" spans="2:3">
      <c r="B92" s="48" t="s">
        <v>1893</v>
      </c>
      <c r="C92" s="48">
        <f>SUMIF('UFCA - CR'!$F$4:$F$1001,B89,'UFCA - CR'!$I$4:$I$1001)</f>
        <v>9241.66</v>
      </c>
    </row>
    <row r="93" spans="2:3">
      <c r="B93" s="48" t="s">
        <v>1894</v>
      </c>
      <c r="C93" s="48">
        <f>SUMIF('UFCA - BA'!$F$4:$F$1002,B89,'UFCA - BA'!$I$4:$I$1002)</f>
        <v>0</v>
      </c>
    </row>
    <row r="94" spans="2:3">
      <c r="B94" s="48" t="s">
        <v>1895</v>
      </c>
      <c r="C94" s="48">
        <f>SUMIF('UFCA - BS'!$F$4:$F$999,B89,'UFCA - BS'!$I$4:$I$999)</f>
        <v>0</v>
      </c>
    </row>
    <row r="97" spans="2:3">
      <c r="B97" s="292" t="s">
        <v>615</v>
      </c>
    </row>
    <row r="98" spans="2:3">
      <c r="B98" s="78" t="s">
        <v>1229</v>
      </c>
      <c r="C98" s="78" t="s">
        <v>1889</v>
      </c>
    </row>
    <row r="99" spans="2:3">
      <c r="B99" s="48" t="s">
        <v>1892</v>
      </c>
      <c r="C99" s="48">
        <f>SUMIF('UFCA - JN'!$I$4:$I$1007,B97,'UFCA - JN'!$L$4:$L$1007)</f>
        <v>12437.737300000001</v>
      </c>
    </row>
    <row r="100" spans="2:3">
      <c r="B100" s="48" t="s">
        <v>1893</v>
      </c>
      <c r="C100" s="48">
        <f>SUMIF('UFCA - CR'!$F$4:$F$1001,B97,'UFCA - CR'!$I$4:$I$1001)</f>
        <v>4294.84</v>
      </c>
    </row>
    <row r="101" spans="2:3">
      <c r="B101" s="48" t="s">
        <v>1894</v>
      </c>
      <c r="C101" s="48">
        <f>SUMIF('UFCA - BA'!$F$4:$F$1002,B97,'UFCA - BA'!$I$4:$I$1002)</f>
        <v>1684.35</v>
      </c>
    </row>
    <row r="102" spans="2:3">
      <c r="B102" s="48" t="s">
        <v>1895</v>
      </c>
      <c r="C102" s="48">
        <f>SUMIF('UFCA - BS'!$F$4:$F$999,B97,'UFCA - BS'!$I$4:$I$999)</f>
        <v>1197.79</v>
      </c>
    </row>
    <row r="105" spans="2:3">
      <c r="B105" s="292" t="s">
        <v>616</v>
      </c>
      <c r="C105" t="s">
        <v>1896</v>
      </c>
    </row>
    <row r="106" spans="2:3">
      <c r="B106" s="78" t="s">
        <v>1229</v>
      </c>
      <c r="C106" s="78" t="s">
        <v>1889</v>
      </c>
    </row>
    <row r="107" spans="2:3">
      <c r="B107" s="48" t="s">
        <v>1892</v>
      </c>
      <c r="C107" s="48">
        <f>SUMIF('UFCA - JN'!$I$4:$I$1007,B105,'UFCA - JN'!$L$4:$L$1007)</f>
        <v>7511.9772000000003</v>
      </c>
    </row>
    <row r="108" spans="2:3">
      <c r="B108" s="48" t="s">
        <v>1893</v>
      </c>
      <c r="C108" s="48">
        <f>SUMIF('UFCA - CR'!$F$4:$F$1001,B105,'UFCA - CR'!$I$4:$I$1001)</f>
        <v>5316.77</v>
      </c>
    </row>
    <row r="109" spans="2:3">
      <c r="B109" s="48" t="s">
        <v>1894</v>
      </c>
      <c r="C109" s="48">
        <f>SUMIF('UFCA - BA'!$F$4:$F$1002,B105,'UFCA - BA'!$I$4:$I$1002)</f>
        <v>2425.13</v>
      </c>
    </row>
    <row r="110" spans="2:3">
      <c r="B110" s="48" t="s">
        <v>1895</v>
      </c>
      <c r="C110" s="48">
        <f>SUMIF('UFCA - BS'!$F$4:$F$999,B105,'UFCA - BS'!$I$4:$I$999)</f>
        <v>324.41000000000003</v>
      </c>
    </row>
  </sheetData>
  <mergeCells count="11">
    <mergeCell ref="Q20:T20"/>
    <mergeCell ref="Q21:T21"/>
    <mergeCell ref="A1:S1"/>
    <mergeCell ref="Q3:T3"/>
    <mergeCell ref="Q4:T4"/>
    <mergeCell ref="I20:L20"/>
    <mergeCell ref="I21:L21"/>
    <mergeCell ref="B4:E4"/>
    <mergeCell ref="B3:E3"/>
    <mergeCell ref="I3:L3"/>
    <mergeCell ref="I4:L4"/>
  </mergeCells>
  <pageMargins left="0.98425196850393704" right="0.51181102362204722" top="0.59055118110236227" bottom="0.59055118110236227" header="0.31496062992125984" footer="0.31496062992125984"/>
  <pageSetup paperSize="9" scale="54" fitToHeight="0" orientation="landscape" r:id="rId1"/>
  <headerFooter>
    <oddHeader>&amp;C&amp;F&amp;R&amp;A</oddHeader>
    <oddFooter>&amp;LÚLTIMA ATUALIZAÇÃO: 10/02/2025&amp;CUFCA/DINFRA - Pág &amp;P/&amp;N&amp;RSUPERVISÃO DO LEVANTAMENTO: Arq. LOUISE BARBOSA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6A301-68F9-4F2A-A1B1-8286E795697F}">
  <sheetPr>
    <tabColor theme="5" tint="0.59999389629810485"/>
    <pageSetUpPr fitToPage="1"/>
  </sheetPr>
  <dimension ref="A1:V249"/>
  <sheetViews>
    <sheetView view="pageBreakPreview" zoomScale="85" zoomScaleNormal="100" zoomScaleSheetLayoutView="85" workbookViewId="0">
      <selection activeCell="Q50" sqref="Q50"/>
    </sheetView>
  </sheetViews>
  <sheetFormatPr defaultRowHeight="15"/>
  <cols>
    <col min="1" max="1" width="10.140625" customWidth="1"/>
    <col min="2" max="2" width="16" style="5" customWidth="1"/>
    <col min="3" max="3" width="21.28515625" style="48" customWidth="1"/>
    <col min="4" max="4" width="16.28515625" style="48" bestFit="1" customWidth="1"/>
    <col min="5" max="5" width="16.28515625" style="48" customWidth="1"/>
    <col min="6" max="6" width="21.140625" style="48" bestFit="1" customWidth="1"/>
    <col min="7" max="7" width="36.140625" style="48" customWidth="1"/>
    <col min="8" max="8" width="9.85546875" style="18" bestFit="1" customWidth="1"/>
    <col min="9" max="9" width="15.140625" style="15" customWidth="1"/>
    <col min="10" max="10" width="21.140625" style="15" customWidth="1"/>
    <col min="11" max="11" width="11.28515625" style="15" bestFit="1" customWidth="1"/>
    <col min="12" max="12" width="18" style="15" bestFit="1" customWidth="1"/>
    <col min="13" max="13" width="19.7109375" style="15" bestFit="1" customWidth="1"/>
    <col min="14" max="14" width="16.7109375" style="15" bestFit="1" customWidth="1"/>
    <col min="15" max="15" width="53.7109375" style="15" bestFit="1" customWidth="1"/>
    <col min="16" max="16" width="53.7109375" style="1" bestFit="1" customWidth="1"/>
    <col min="17" max="17" width="15.140625" customWidth="1"/>
    <col min="18" max="18" width="18.85546875" customWidth="1"/>
    <col min="19" max="19" width="32.5703125" customWidth="1"/>
    <col min="20" max="20" width="14.85546875" customWidth="1"/>
  </cols>
  <sheetData>
    <row r="1" spans="1:22">
      <c r="A1" s="117"/>
      <c r="B1" s="144"/>
      <c r="C1" s="152" t="s">
        <v>816</v>
      </c>
      <c r="D1" s="56"/>
      <c r="E1" s="56"/>
      <c r="F1" s="56"/>
      <c r="G1" s="153"/>
      <c r="H1" s="3"/>
      <c r="I1" s="1"/>
      <c r="J1" s="1"/>
      <c r="K1" s="1"/>
      <c r="L1" s="1"/>
      <c r="M1" s="1"/>
      <c r="N1" s="1"/>
      <c r="O1" s="28"/>
    </row>
    <row r="2" spans="1:22">
      <c r="A2" s="120"/>
      <c r="B2"/>
      <c r="C2" s="3"/>
      <c r="D2" s="18"/>
      <c r="E2" s="18"/>
      <c r="F2" s="18"/>
      <c r="G2" s="634"/>
      <c r="H2" s="634"/>
      <c r="I2" s="634"/>
      <c r="J2" s="3"/>
      <c r="K2" s="80" t="s">
        <v>863</v>
      </c>
      <c r="L2" s="633" t="s">
        <v>266</v>
      </c>
      <c r="M2" s="633"/>
      <c r="N2" s="633"/>
      <c r="O2" s="57"/>
    </row>
    <row r="3" spans="1:22" ht="15" customHeight="1">
      <c r="A3" s="120"/>
      <c r="B3"/>
      <c r="C3" s="91" t="s">
        <v>70</v>
      </c>
      <c r="D3" s="29" t="s">
        <v>36</v>
      </c>
      <c r="E3" s="29" t="s">
        <v>1921</v>
      </c>
      <c r="F3" s="29" t="s">
        <v>69</v>
      </c>
      <c r="G3" s="45" t="s">
        <v>74</v>
      </c>
      <c r="H3" s="29" t="s">
        <v>71</v>
      </c>
      <c r="I3" s="29" t="s">
        <v>75</v>
      </c>
      <c r="J3" s="29" t="s">
        <v>257</v>
      </c>
      <c r="K3" s="29"/>
      <c r="L3" s="29" t="s">
        <v>271</v>
      </c>
      <c r="M3" s="29" t="s">
        <v>272</v>
      </c>
      <c r="N3" s="29" t="s">
        <v>273</v>
      </c>
      <c r="O3" s="29" t="s">
        <v>274</v>
      </c>
      <c r="P3" s="55"/>
      <c r="Q3" s="9" t="s">
        <v>568</v>
      </c>
    </row>
    <row r="4" spans="1:22" ht="15" customHeight="1">
      <c r="A4" s="143"/>
      <c r="B4"/>
      <c r="C4" s="303" t="s">
        <v>79</v>
      </c>
      <c r="D4" s="46" t="s">
        <v>77</v>
      </c>
      <c r="E4" s="46" t="s">
        <v>1886</v>
      </c>
      <c r="F4" s="46" t="s">
        <v>175</v>
      </c>
      <c r="G4" s="308" t="s">
        <v>114</v>
      </c>
      <c r="H4" s="12" t="s">
        <v>115</v>
      </c>
      <c r="I4" s="15">
        <v>16.420000000000002</v>
      </c>
      <c r="J4" s="15">
        <f>I4</f>
        <v>16.420000000000002</v>
      </c>
      <c r="K4" s="15">
        <v>2</v>
      </c>
      <c r="L4" s="18" t="s">
        <v>572</v>
      </c>
      <c r="M4" s="12" t="s">
        <v>275</v>
      </c>
      <c r="N4" s="12" t="s">
        <v>362</v>
      </c>
      <c r="O4" s="12" t="s">
        <v>100</v>
      </c>
      <c r="P4" s="2"/>
      <c r="Q4" s="2">
        <f>SUM(I4:I118)</f>
        <v>4730.619999999999</v>
      </c>
    </row>
    <row r="5" spans="1:22">
      <c r="A5" s="120"/>
      <c r="B5"/>
      <c r="C5" s="303" t="s">
        <v>79</v>
      </c>
      <c r="D5" s="46" t="s">
        <v>77</v>
      </c>
      <c r="E5" s="46" t="s">
        <v>1886</v>
      </c>
      <c r="F5" s="46" t="s">
        <v>175</v>
      </c>
      <c r="G5" s="308" t="s">
        <v>116</v>
      </c>
      <c r="H5" s="12" t="s">
        <v>117</v>
      </c>
      <c r="I5" s="15">
        <v>12.18</v>
      </c>
      <c r="J5" s="15">
        <f>I5</f>
        <v>12.18</v>
      </c>
      <c r="K5" s="15">
        <v>3</v>
      </c>
      <c r="L5" s="18" t="s">
        <v>572</v>
      </c>
      <c r="M5" s="15" t="s">
        <v>275</v>
      </c>
      <c r="N5" s="15" t="s">
        <v>362</v>
      </c>
      <c r="O5" s="15" t="s">
        <v>100</v>
      </c>
    </row>
    <row r="6" spans="1:22">
      <c r="A6" s="120"/>
      <c r="B6"/>
      <c r="C6" s="303" t="s">
        <v>79</v>
      </c>
      <c r="D6" s="46" t="s">
        <v>77</v>
      </c>
      <c r="E6" s="46" t="s">
        <v>1886</v>
      </c>
      <c r="F6" s="46" t="s">
        <v>175</v>
      </c>
      <c r="G6" s="308" t="s">
        <v>118</v>
      </c>
      <c r="H6" s="12" t="s">
        <v>119</v>
      </c>
      <c r="I6" s="15">
        <v>15.54</v>
      </c>
      <c r="J6" s="15">
        <f t="shared" ref="J6:J30" si="0">I6</f>
        <v>15.54</v>
      </c>
      <c r="K6" s="15">
        <v>3</v>
      </c>
      <c r="L6" s="18" t="s">
        <v>572</v>
      </c>
      <c r="M6" s="15" t="s">
        <v>275</v>
      </c>
      <c r="N6" s="15" t="s">
        <v>362</v>
      </c>
      <c r="O6" s="15" t="s">
        <v>100</v>
      </c>
    </row>
    <row r="7" spans="1:22">
      <c r="A7" s="120"/>
      <c r="B7"/>
      <c r="C7" s="303" t="s">
        <v>79</v>
      </c>
      <c r="D7" s="46" t="s">
        <v>77</v>
      </c>
      <c r="E7" s="46" t="s">
        <v>1886</v>
      </c>
      <c r="F7" s="46" t="s">
        <v>175</v>
      </c>
      <c r="G7" s="308" t="s">
        <v>120</v>
      </c>
      <c r="H7" s="12" t="s">
        <v>121</v>
      </c>
      <c r="I7" s="15">
        <v>16.38</v>
      </c>
      <c r="J7" s="15">
        <f t="shared" si="0"/>
        <v>16.38</v>
      </c>
      <c r="K7" s="15">
        <v>3</v>
      </c>
      <c r="L7" s="18" t="s">
        <v>572</v>
      </c>
      <c r="M7" s="15" t="s">
        <v>275</v>
      </c>
      <c r="N7" s="15" t="s">
        <v>362</v>
      </c>
      <c r="O7" s="15" t="s">
        <v>100</v>
      </c>
    </row>
    <row r="8" spans="1:22">
      <c r="A8" s="120"/>
      <c r="B8"/>
      <c r="C8" s="303" t="s">
        <v>79</v>
      </c>
      <c r="D8" s="46" t="s">
        <v>77</v>
      </c>
      <c r="E8" s="46" t="s">
        <v>1886</v>
      </c>
      <c r="F8" s="46" t="s">
        <v>175</v>
      </c>
      <c r="G8" s="308" t="s">
        <v>122</v>
      </c>
      <c r="H8" s="12" t="s">
        <v>123</v>
      </c>
      <c r="I8" s="15">
        <v>19.239999999999998</v>
      </c>
      <c r="J8" s="15">
        <f t="shared" si="0"/>
        <v>19.239999999999998</v>
      </c>
      <c r="K8" s="15">
        <v>3</v>
      </c>
      <c r="L8" s="18" t="s">
        <v>572</v>
      </c>
      <c r="M8" s="15" t="s">
        <v>275</v>
      </c>
      <c r="N8" s="15" t="s">
        <v>362</v>
      </c>
      <c r="O8" s="15" t="s">
        <v>100</v>
      </c>
    </row>
    <row r="9" spans="1:22">
      <c r="A9" s="120"/>
      <c r="B9"/>
      <c r="C9" s="303" t="s">
        <v>79</v>
      </c>
      <c r="D9" s="46" t="s">
        <v>77</v>
      </c>
      <c r="E9" s="46" t="s">
        <v>1886</v>
      </c>
      <c r="F9" s="46" t="s">
        <v>175</v>
      </c>
      <c r="G9" s="308" t="s">
        <v>124</v>
      </c>
      <c r="H9" s="12" t="s">
        <v>125</v>
      </c>
      <c r="I9" s="15">
        <v>9.8699999999999992</v>
      </c>
      <c r="J9" s="15">
        <f t="shared" si="0"/>
        <v>9.8699999999999992</v>
      </c>
      <c r="K9" s="15">
        <v>3</v>
      </c>
      <c r="L9" s="18" t="s">
        <v>572</v>
      </c>
      <c r="M9" s="15" t="s">
        <v>275</v>
      </c>
      <c r="N9" s="15" t="s">
        <v>362</v>
      </c>
      <c r="O9" s="15" t="s">
        <v>100</v>
      </c>
    </row>
    <row r="10" spans="1:22">
      <c r="A10" s="120"/>
      <c r="B10"/>
      <c r="C10" s="303" t="s">
        <v>79</v>
      </c>
      <c r="D10" s="46" t="s">
        <v>77</v>
      </c>
      <c r="E10" s="46" t="s">
        <v>1886</v>
      </c>
      <c r="F10" s="46" t="s">
        <v>175</v>
      </c>
      <c r="G10" s="308" t="s">
        <v>126</v>
      </c>
      <c r="H10" s="12" t="s">
        <v>127</v>
      </c>
      <c r="I10" s="15">
        <v>37.869999999999997</v>
      </c>
      <c r="J10" s="15">
        <f t="shared" si="0"/>
        <v>37.869999999999997</v>
      </c>
      <c r="K10" s="15">
        <v>3</v>
      </c>
      <c r="L10" s="18" t="s">
        <v>572</v>
      </c>
      <c r="M10" s="15" t="s">
        <v>275</v>
      </c>
      <c r="N10" s="15" t="s">
        <v>362</v>
      </c>
      <c r="O10" s="15" t="s">
        <v>100</v>
      </c>
      <c r="V10" s="6"/>
    </row>
    <row r="11" spans="1:22">
      <c r="A11" s="120"/>
      <c r="B11"/>
      <c r="C11" s="303" t="s">
        <v>79</v>
      </c>
      <c r="D11" s="46" t="s">
        <v>77</v>
      </c>
      <c r="E11" s="46" t="s">
        <v>1886</v>
      </c>
      <c r="F11" s="46" t="s">
        <v>175</v>
      </c>
      <c r="G11" s="308" t="s">
        <v>128</v>
      </c>
      <c r="H11" s="12" t="s">
        <v>129</v>
      </c>
      <c r="I11" s="15">
        <v>14.7</v>
      </c>
      <c r="J11" s="15">
        <f t="shared" si="0"/>
        <v>14.7</v>
      </c>
      <c r="K11" s="15">
        <v>3</v>
      </c>
      <c r="L11" s="18" t="s">
        <v>572</v>
      </c>
      <c r="M11" s="15" t="s">
        <v>275</v>
      </c>
      <c r="N11" s="15" t="s">
        <v>362</v>
      </c>
      <c r="O11" s="15" t="s">
        <v>100</v>
      </c>
    </row>
    <row r="12" spans="1:22">
      <c r="A12" s="120" t="s">
        <v>916</v>
      </c>
      <c r="B12"/>
      <c r="C12" s="303" t="s">
        <v>79</v>
      </c>
      <c r="D12" s="46" t="s">
        <v>77</v>
      </c>
      <c r="E12" s="46" t="s">
        <v>1886</v>
      </c>
      <c r="F12" s="46" t="s">
        <v>175</v>
      </c>
      <c r="G12" s="308" t="s">
        <v>130</v>
      </c>
      <c r="H12" s="12" t="s">
        <v>131</v>
      </c>
      <c r="I12" s="15">
        <v>16.55</v>
      </c>
      <c r="J12" s="15">
        <f t="shared" si="0"/>
        <v>16.55</v>
      </c>
      <c r="K12" s="15">
        <v>2</v>
      </c>
      <c r="L12" s="18" t="s">
        <v>572</v>
      </c>
      <c r="M12" s="15" t="s">
        <v>275</v>
      </c>
      <c r="N12" s="15" t="s">
        <v>362</v>
      </c>
    </row>
    <row r="13" spans="1:22">
      <c r="A13" s="120"/>
      <c r="B13"/>
      <c r="C13" s="303" t="s">
        <v>79</v>
      </c>
      <c r="D13" s="46" t="s">
        <v>77</v>
      </c>
      <c r="E13" s="46" t="s">
        <v>1886</v>
      </c>
      <c r="F13" s="46" t="s">
        <v>175</v>
      </c>
      <c r="G13" s="308" t="s">
        <v>132</v>
      </c>
      <c r="H13" s="12" t="s">
        <v>133</v>
      </c>
      <c r="I13" s="15">
        <v>18.690000000000001</v>
      </c>
      <c r="J13" s="15">
        <f t="shared" si="0"/>
        <v>18.690000000000001</v>
      </c>
      <c r="K13" s="15">
        <v>3</v>
      </c>
      <c r="L13" s="18" t="s">
        <v>572</v>
      </c>
      <c r="M13" s="15" t="s">
        <v>275</v>
      </c>
      <c r="N13" s="15" t="s">
        <v>362</v>
      </c>
      <c r="O13" s="15" t="s">
        <v>100</v>
      </c>
    </row>
    <row r="14" spans="1:22">
      <c r="A14" s="120"/>
      <c r="B14"/>
      <c r="C14" s="303" t="s">
        <v>79</v>
      </c>
      <c r="D14" s="46" t="s">
        <v>77</v>
      </c>
      <c r="E14" s="46" t="s">
        <v>1886</v>
      </c>
      <c r="F14" s="46" t="s">
        <v>175</v>
      </c>
      <c r="G14" s="308" t="s">
        <v>14</v>
      </c>
      <c r="H14" s="18" t="s">
        <v>645</v>
      </c>
      <c r="I14" s="15">
        <v>37.24</v>
      </c>
      <c r="J14" s="15">
        <f t="shared" si="0"/>
        <v>37.24</v>
      </c>
      <c r="K14" s="15">
        <v>5</v>
      </c>
      <c r="L14" s="18" t="s">
        <v>572</v>
      </c>
      <c r="M14" s="15" t="s">
        <v>269</v>
      </c>
      <c r="N14" s="15" t="s">
        <v>269</v>
      </c>
      <c r="O14" s="15" t="s">
        <v>100</v>
      </c>
    </row>
    <row r="15" spans="1:22">
      <c r="A15" s="120"/>
      <c r="B15"/>
      <c r="C15" s="303" t="s">
        <v>79</v>
      </c>
      <c r="D15" s="44" t="s">
        <v>77</v>
      </c>
      <c r="E15" s="44"/>
      <c r="F15" s="44" t="s">
        <v>192</v>
      </c>
      <c r="G15" s="28" t="s">
        <v>646</v>
      </c>
      <c r="H15" s="15" t="s">
        <v>647</v>
      </c>
      <c r="I15" s="15">
        <f>13.72+12.88</f>
        <v>26.6</v>
      </c>
      <c r="J15" s="15">
        <f>I15</f>
        <v>26.6</v>
      </c>
      <c r="L15" s="18" t="s">
        <v>572</v>
      </c>
      <c r="M15" s="32" t="s">
        <v>275</v>
      </c>
      <c r="N15" s="32" t="s">
        <v>269</v>
      </c>
      <c r="O15" s="35" t="s">
        <v>100</v>
      </c>
    </row>
    <row r="16" spans="1:22">
      <c r="A16" s="120"/>
      <c r="B16"/>
      <c r="C16" s="303" t="s">
        <v>79</v>
      </c>
      <c r="D16" s="44" t="s">
        <v>77</v>
      </c>
      <c r="E16" s="44"/>
      <c r="F16" s="46" t="s">
        <v>211</v>
      </c>
      <c r="G16" s="28" t="s">
        <v>388</v>
      </c>
      <c r="H16" s="18" t="s">
        <v>648</v>
      </c>
      <c r="I16" s="15">
        <v>2.75</v>
      </c>
      <c r="J16" s="15">
        <f>I16</f>
        <v>2.75</v>
      </c>
      <c r="L16" s="18" t="s">
        <v>572</v>
      </c>
      <c r="M16" s="15" t="s">
        <v>275</v>
      </c>
      <c r="N16" s="15" t="s">
        <v>269</v>
      </c>
      <c r="O16" s="15" t="s">
        <v>100</v>
      </c>
    </row>
    <row r="17" spans="1:17">
      <c r="A17" s="120"/>
      <c r="B17"/>
      <c r="C17" s="303" t="s">
        <v>79</v>
      </c>
      <c r="D17" s="46" t="s">
        <v>77</v>
      </c>
      <c r="E17" s="46" t="s">
        <v>1886</v>
      </c>
      <c r="F17" s="46" t="s">
        <v>175</v>
      </c>
      <c r="G17" s="14" t="s">
        <v>580</v>
      </c>
      <c r="H17" s="18" t="s">
        <v>649</v>
      </c>
      <c r="I17" s="15">
        <v>20.16</v>
      </c>
      <c r="J17" s="15">
        <f t="shared" si="0"/>
        <v>20.16</v>
      </c>
      <c r="K17" s="15">
        <v>2</v>
      </c>
      <c r="L17" s="18" t="s">
        <v>572</v>
      </c>
      <c r="M17" s="15" t="s">
        <v>275</v>
      </c>
      <c r="N17" s="15" t="s">
        <v>581</v>
      </c>
      <c r="O17" s="15" t="s">
        <v>100</v>
      </c>
    </row>
    <row r="18" spans="1:17">
      <c r="A18" s="120"/>
      <c r="B18"/>
      <c r="C18" s="303" t="s">
        <v>79</v>
      </c>
      <c r="D18" s="44" t="s">
        <v>77</v>
      </c>
      <c r="E18" s="46" t="s">
        <v>1886</v>
      </c>
      <c r="F18" s="44" t="s">
        <v>596</v>
      </c>
      <c r="G18" s="28" t="s">
        <v>640</v>
      </c>
      <c r="H18" s="18" t="s">
        <v>650</v>
      </c>
      <c r="I18" s="15">
        <v>4.01</v>
      </c>
      <c r="J18" s="15">
        <f t="shared" ref="J18:J25" si="1">I18</f>
        <v>4.01</v>
      </c>
      <c r="K18" s="15">
        <v>2</v>
      </c>
      <c r="L18" s="18" t="s">
        <v>572</v>
      </c>
      <c r="M18" s="12" t="s">
        <v>269</v>
      </c>
      <c r="N18" s="12" t="s">
        <v>586</v>
      </c>
      <c r="O18" s="12" t="s">
        <v>100</v>
      </c>
    </row>
    <row r="19" spans="1:17">
      <c r="A19" s="120"/>
      <c r="B19"/>
      <c r="C19" s="303" t="s">
        <v>79</v>
      </c>
      <c r="D19" s="44" t="s">
        <v>77</v>
      </c>
      <c r="E19" s="46" t="s">
        <v>1886</v>
      </c>
      <c r="F19" s="46" t="s">
        <v>249</v>
      </c>
      <c r="G19" s="28" t="s">
        <v>29</v>
      </c>
      <c r="H19" s="18" t="s">
        <v>652</v>
      </c>
      <c r="I19" s="15">
        <v>6.44</v>
      </c>
      <c r="J19" s="15">
        <f t="shared" si="1"/>
        <v>6.44</v>
      </c>
      <c r="K19" s="15">
        <v>2</v>
      </c>
      <c r="L19" s="18" t="s">
        <v>572</v>
      </c>
      <c r="M19" s="15" t="s">
        <v>269</v>
      </c>
      <c r="N19" s="15" t="s">
        <v>269</v>
      </c>
      <c r="O19" s="15" t="s">
        <v>282</v>
      </c>
    </row>
    <row r="20" spans="1:17">
      <c r="A20" s="120"/>
      <c r="B20"/>
      <c r="C20" s="303" t="s">
        <v>79</v>
      </c>
      <c r="D20" s="44" t="s">
        <v>77</v>
      </c>
      <c r="E20" s="44"/>
      <c r="F20" s="44" t="s">
        <v>192</v>
      </c>
      <c r="G20" s="28" t="s">
        <v>28</v>
      </c>
      <c r="H20" s="15" t="s">
        <v>653</v>
      </c>
      <c r="I20" s="15">
        <v>3.2</v>
      </c>
      <c r="J20" s="15">
        <f t="shared" si="1"/>
        <v>3.2</v>
      </c>
      <c r="K20" s="15">
        <v>0</v>
      </c>
      <c r="L20" s="18" t="s">
        <v>572</v>
      </c>
      <c r="M20" s="32" t="s">
        <v>275</v>
      </c>
      <c r="N20" s="32" t="s">
        <v>269</v>
      </c>
      <c r="O20" s="35" t="s">
        <v>100</v>
      </c>
    </row>
    <row r="21" spans="1:17">
      <c r="A21" s="120"/>
      <c r="B21"/>
      <c r="C21" s="303" t="s">
        <v>79</v>
      </c>
      <c r="D21" s="44" t="s">
        <v>77</v>
      </c>
      <c r="E21" s="46" t="s">
        <v>1886</v>
      </c>
      <c r="F21" s="46" t="s">
        <v>249</v>
      </c>
      <c r="G21" s="28" t="s">
        <v>30</v>
      </c>
      <c r="H21" s="18" t="s">
        <v>654</v>
      </c>
      <c r="I21" s="15">
        <v>2.0099999999999998</v>
      </c>
      <c r="J21" s="15">
        <f t="shared" si="1"/>
        <v>2.0099999999999998</v>
      </c>
      <c r="K21" s="15">
        <v>0</v>
      </c>
      <c r="L21" s="18" t="s">
        <v>572</v>
      </c>
      <c r="M21" s="15" t="s">
        <v>269</v>
      </c>
      <c r="N21" s="15" t="s">
        <v>269</v>
      </c>
      <c r="O21" s="15" t="s">
        <v>282</v>
      </c>
    </row>
    <row r="22" spans="1:17">
      <c r="A22" s="120"/>
      <c r="B22"/>
      <c r="C22" s="303" t="s">
        <v>79</v>
      </c>
      <c r="D22" s="44" t="s">
        <v>77</v>
      </c>
      <c r="E22" s="46" t="s">
        <v>1886</v>
      </c>
      <c r="F22" s="44" t="s">
        <v>596</v>
      </c>
      <c r="G22" s="28" t="s">
        <v>639</v>
      </c>
      <c r="H22" s="18" t="s">
        <v>655</v>
      </c>
      <c r="I22" s="15">
        <v>31.23</v>
      </c>
      <c r="J22" s="15">
        <f t="shared" si="1"/>
        <v>31.23</v>
      </c>
      <c r="K22" s="15">
        <v>3</v>
      </c>
      <c r="L22" s="18" t="s">
        <v>572</v>
      </c>
      <c r="M22" s="12" t="s">
        <v>269</v>
      </c>
      <c r="N22" s="12" t="s">
        <v>586</v>
      </c>
      <c r="O22" s="15" t="s">
        <v>100</v>
      </c>
    </row>
    <row r="23" spans="1:17">
      <c r="A23" s="120"/>
      <c r="B23"/>
      <c r="C23" s="303" t="s">
        <v>79</v>
      </c>
      <c r="D23" s="44" t="s">
        <v>77</v>
      </c>
      <c r="E23" s="46" t="s">
        <v>1886</v>
      </c>
      <c r="F23" s="44" t="s">
        <v>596</v>
      </c>
      <c r="G23" s="28" t="s">
        <v>642</v>
      </c>
      <c r="H23" s="18" t="s">
        <v>656</v>
      </c>
      <c r="I23" s="15">
        <v>9.11</v>
      </c>
      <c r="J23" s="15">
        <f t="shared" si="1"/>
        <v>9.11</v>
      </c>
      <c r="K23" s="15">
        <v>2</v>
      </c>
      <c r="L23" s="18" t="s">
        <v>572</v>
      </c>
      <c r="M23" s="15" t="s">
        <v>269</v>
      </c>
      <c r="N23" s="15" t="s">
        <v>269</v>
      </c>
      <c r="O23" s="15" t="s">
        <v>282</v>
      </c>
    </row>
    <row r="24" spans="1:17">
      <c r="A24" s="120"/>
      <c r="B24"/>
      <c r="C24" s="303" t="s">
        <v>79</v>
      </c>
      <c r="D24" s="44" t="s">
        <v>77</v>
      </c>
      <c r="E24" s="46" t="s">
        <v>1886</v>
      </c>
      <c r="F24" s="44" t="s">
        <v>596</v>
      </c>
      <c r="G24" s="28" t="s">
        <v>641</v>
      </c>
      <c r="H24" s="18" t="s">
        <v>657</v>
      </c>
      <c r="I24" s="15">
        <v>5.9</v>
      </c>
      <c r="J24" s="15">
        <f t="shared" si="1"/>
        <v>5.9</v>
      </c>
      <c r="K24" s="15">
        <v>2</v>
      </c>
      <c r="L24" s="18" t="s">
        <v>572</v>
      </c>
      <c r="M24" s="15" t="s">
        <v>269</v>
      </c>
      <c r="N24" s="15" t="s">
        <v>269</v>
      </c>
      <c r="O24" s="15" t="s">
        <v>282</v>
      </c>
    </row>
    <row r="25" spans="1:17">
      <c r="A25" s="120"/>
      <c r="B25"/>
      <c r="C25" s="303" t="s">
        <v>79</v>
      </c>
      <c r="D25" s="44" t="s">
        <v>77</v>
      </c>
      <c r="E25" s="46" t="s">
        <v>1886</v>
      </c>
      <c r="F25" s="46" t="s">
        <v>249</v>
      </c>
      <c r="G25" s="28" t="s">
        <v>638</v>
      </c>
      <c r="H25" s="18" t="s">
        <v>658</v>
      </c>
      <c r="I25" s="15">
        <v>7.31</v>
      </c>
      <c r="J25" s="15">
        <f t="shared" si="1"/>
        <v>7.31</v>
      </c>
      <c r="K25" s="15">
        <v>2</v>
      </c>
      <c r="L25" s="18" t="s">
        <v>572</v>
      </c>
      <c r="M25" s="15" t="s">
        <v>269</v>
      </c>
      <c r="N25" s="15" t="s">
        <v>269</v>
      </c>
      <c r="O25" s="15" t="s">
        <v>282</v>
      </c>
    </row>
    <row r="26" spans="1:17">
      <c r="A26" s="120"/>
      <c r="B26"/>
      <c r="C26" s="303" t="s">
        <v>79</v>
      </c>
      <c r="D26" s="46" t="s">
        <v>77</v>
      </c>
      <c r="E26" s="46" t="s">
        <v>1886</v>
      </c>
      <c r="F26" s="46" t="s">
        <v>175</v>
      </c>
      <c r="G26" s="14" t="s">
        <v>15</v>
      </c>
      <c r="H26" s="18" t="s">
        <v>659</v>
      </c>
      <c r="I26" s="15">
        <v>17.809999999999999</v>
      </c>
      <c r="J26" s="15">
        <f t="shared" si="0"/>
        <v>17.809999999999999</v>
      </c>
      <c r="K26" s="15">
        <v>3</v>
      </c>
      <c r="L26" s="18" t="s">
        <v>572</v>
      </c>
      <c r="M26" s="15" t="s">
        <v>275</v>
      </c>
      <c r="N26" s="15" t="s">
        <v>582</v>
      </c>
      <c r="O26" s="15" t="s">
        <v>100</v>
      </c>
    </row>
    <row r="27" spans="1:17">
      <c r="A27" s="120"/>
      <c r="B27"/>
      <c r="C27" s="303" t="s">
        <v>79</v>
      </c>
      <c r="D27" s="44" t="s">
        <v>77</v>
      </c>
      <c r="E27" s="44"/>
      <c r="F27" s="44" t="s">
        <v>192</v>
      </c>
      <c r="G27" s="14" t="s">
        <v>167</v>
      </c>
      <c r="H27" s="18" t="s">
        <v>660</v>
      </c>
      <c r="I27" s="15">
        <v>1.96</v>
      </c>
      <c r="J27" s="15">
        <f>I27</f>
        <v>1.96</v>
      </c>
      <c r="L27" s="18" t="s">
        <v>572</v>
      </c>
      <c r="M27" s="32" t="s">
        <v>275</v>
      </c>
      <c r="N27" s="32" t="s">
        <v>269</v>
      </c>
      <c r="O27" s="35" t="s">
        <v>100</v>
      </c>
    </row>
    <row r="28" spans="1:17">
      <c r="A28" s="120"/>
      <c r="B28"/>
      <c r="C28" s="303" t="s">
        <v>79</v>
      </c>
      <c r="D28" s="44" t="s">
        <v>77</v>
      </c>
      <c r="E28" s="46" t="s">
        <v>1886</v>
      </c>
      <c r="F28" s="106" t="s">
        <v>175</v>
      </c>
      <c r="G28" s="14" t="s">
        <v>16</v>
      </c>
      <c r="H28" s="18" t="s">
        <v>661</v>
      </c>
      <c r="I28" s="15">
        <v>84.46</v>
      </c>
      <c r="J28" s="15">
        <f t="shared" si="0"/>
        <v>84.46</v>
      </c>
      <c r="L28" s="18" t="s">
        <v>572</v>
      </c>
      <c r="M28" s="15" t="s">
        <v>275</v>
      </c>
      <c r="N28" s="15" t="s">
        <v>581</v>
      </c>
      <c r="O28" s="15" t="s">
        <v>100</v>
      </c>
      <c r="Q28" s="2"/>
    </row>
    <row r="29" spans="1:17" ht="15.75" thickBot="1">
      <c r="A29" s="135"/>
      <c r="B29" s="136"/>
      <c r="C29" s="303" t="s">
        <v>79</v>
      </c>
      <c r="D29" s="44" t="s">
        <v>77</v>
      </c>
      <c r="E29" s="44"/>
      <c r="F29" s="46" t="s">
        <v>27</v>
      </c>
      <c r="G29" s="14" t="s">
        <v>166</v>
      </c>
      <c r="H29" s="18" t="s">
        <v>662</v>
      </c>
      <c r="I29" s="15">
        <v>1.5</v>
      </c>
      <c r="J29" s="15">
        <f>I29</f>
        <v>1.5</v>
      </c>
      <c r="L29" s="18" t="s">
        <v>572</v>
      </c>
      <c r="M29" s="15" t="s">
        <v>275</v>
      </c>
      <c r="N29" s="15" t="s">
        <v>573</v>
      </c>
      <c r="O29" s="15" t="s">
        <v>100</v>
      </c>
      <c r="Q29" s="2"/>
    </row>
    <row r="30" spans="1:17">
      <c r="B30"/>
      <c r="C30" s="303" t="s">
        <v>79</v>
      </c>
      <c r="D30" s="106" t="s">
        <v>77</v>
      </c>
      <c r="E30" s="46" t="s">
        <v>1886</v>
      </c>
      <c r="F30" s="106" t="s">
        <v>175</v>
      </c>
      <c r="G30" s="18" t="s">
        <v>17</v>
      </c>
      <c r="H30" s="18" t="s">
        <v>663</v>
      </c>
      <c r="I30" s="15">
        <v>78.5</v>
      </c>
      <c r="J30" s="15">
        <f t="shared" si="0"/>
        <v>78.5</v>
      </c>
      <c r="K30" s="15">
        <v>50</v>
      </c>
      <c r="L30" s="18" t="s">
        <v>572</v>
      </c>
      <c r="M30" s="15" t="s">
        <v>275</v>
      </c>
      <c r="N30" s="15" t="s">
        <v>573</v>
      </c>
      <c r="O30" s="15" t="s">
        <v>100</v>
      </c>
    </row>
    <row r="31" spans="1:17">
      <c r="B31"/>
      <c r="C31" s="303" t="s">
        <v>79</v>
      </c>
      <c r="D31" s="46" t="s">
        <v>77</v>
      </c>
      <c r="E31" s="46" t="s">
        <v>1886</v>
      </c>
      <c r="F31" s="46" t="s">
        <v>249</v>
      </c>
      <c r="G31" s="18" t="s">
        <v>31</v>
      </c>
      <c r="H31" s="18" t="s">
        <v>664</v>
      </c>
      <c r="I31" s="15">
        <v>6.11</v>
      </c>
      <c r="J31" s="15">
        <f t="shared" ref="J31:J36" si="2">I31</f>
        <v>6.11</v>
      </c>
      <c r="K31" s="15">
        <v>1</v>
      </c>
      <c r="L31" s="18" t="s">
        <v>572</v>
      </c>
      <c r="M31" s="15" t="s">
        <v>275</v>
      </c>
      <c r="N31" s="15" t="s">
        <v>573</v>
      </c>
      <c r="O31" s="15" t="s">
        <v>100</v>
      </c>
    </row>
    <row r="32" spans="1:17">
      <c r="B32"/>
      <c r="C32" s="303" t="s">
        <v>79</v>
      </c>
      <c r="D32" s="44" t="s">
        <v>77</v>
      </c>
      <c r="E32" s="44"/>
      <c r="F32" s="44" t="s">
        <v>192</v>
      </c>
      <c r="G32" s="18" t="s">
        <v>697</v>
      </c>
      <c r="H32" s="18" t="s">
        <v>665</v>
      </c>
      <c r="I32" s="15">
        <v>1.73</v>
      </c>
      <c r="J32" s="15">
        <f t="shared" si="2"/>
        <v>1.73</v>
      </c>
      <c r="L32" s="18" t="s">
        <v>572</v>
      </c>
      <c r="M32" s="32" t="s">
        <v>275</v>
      </c>
      <c r="N32" s="32" t="s">
        <v>269</v>
      </c>
      <c r="O32" s="35" t="s">
        <v>100</v>
      </c>
    </row>
    <row r="33" spans="2:15">
      <c r="B33"/>
      <c r="C33" s="303" t="s">
        <v>79</v>
      </c>
      <c r="D33" s="46" t="s">
        <v>77</v>
      </c>
      <c r="E33" s="46" t="s">
        <v>1886</v>
      </c>
      <c r="F33" s="46" t="s">
        <v>249</v>
      </c>
      <c r="G33" s="18" t="s">
        <v>32</v>
      </c>
      <c r="H33" s="18" t="s">
        <v>666</v>
      </c>
      <c r="I33" s="15">
        <v>12.62</v>
      </c>
      <c r="J33" s="15">
        <f t="shared" si="2"/>
        <v>12.62</v>
      </c>
      <c r="K33" s="15">
        <v>2</v>
      </c>
      <c r="L33" s="18" t="s">
        <v>572</v>
      </c>
      <c r="M33" s="15" t="s">
        <v>275</v>
      </c>
      <c r="N33" s="15" t="s">
        <v>573</v>
      </c>
      <c r="O33" s="15" t="s">
        <v>100</v>
      </c>
    </row>
    <row r="34" spans="2:15">
      <c r="B34"/>
      <c r="C34" s="303" t="s">
        <v>79</v>
      </c>
      <c r="D34" s="46" t="s">
        <v>77</v>
      </c>
      <c r="E34" s="46"/>
      <c r="F34" s="46" t="s">
        <v>355</v>
      </c>
      <c r="G34" s="27" t="s">
        <v>635</v>
      </c>
      <c r="H34" s="18" t="s">
        <v>667</v>
      </c>
      <c r="I34" s="15">
        <v>8.2200000000000006</v>
      </c>
      <c r="J34" s="15">
        <f t="shared" si="2"/>
        <v>8.2200000000000006</v>
      </c>
      <c r="L34" s="18" t="s">
        <v>572</v>
      </c>
      <c r="M34" s="15" t="s">
        <v>275</v>
      </c>
      <c r="N34" s="15" t="s">
        <v>573</v>
      </c>
      <c r="O34" s="15" t="s">
        <v>100</v>
      </c>
    </row>
    <row r="35" spans="2:15" ht="30">
      <c r="B35"/>
      <c r="C35" s="303" t="s">
        <v>79</v>
      </c>
      <c r="D35" s="46" t="s">
        <v>77</v>
      </c>
      <c r="E35" s="46" t="s">
        <v>1886</v>
      </c>
      <c r="F35" s="46" t="s">
        <v>175</v>
      </c>
      <c r="G35" s="27" t="s">
        <v>634</v>
      </c>
      <c r="H35" s="18" t="s">
        <v>651</v>
      </c>
      <c r="I35" s="15">
        <f>40.87+121.14</f>
        <v>162.01</v>
      </c>
      <c r="J35" s="15">
        <f t="shared" si="2"/>
        <v>162.01</v>
      </c>
      <c r="K35" s="15">
        <f>5*13</f>
        <v>65</v>
      </c>
      <c r="L35" s="18" t="s">
        <v>572</v>
      </c>
      <c r="M35" s="15" t="s">
        <v>275</v>
      </c>
      <c r="N35" s="15" t="s">
        <v>269</v>
      </c>
      <c r="O35" s="15" t="s">
        <v>100</v>
      </c>
    </row>
    <row r="36" spans="2:15">
      <c r="B36"/>
      <c r="C36" s="303" t="s">
        <v>79</v>
      </c>
      <c r="D36" s="44" t="s">
        <v>77</v>
      </c>
      <c r="E36" s="44"/>
      <c r="F36" s="44" t="s">
        <v>194</v>
      </c>
      <c r="G36" s="18" t="s">
        <v>196</v>
      </c>
      <c r="H36" s="18" t="s">
        <v>758</v>
      </c>
      <c r="I36" s="15">
        <v>15.44</v>
      </c>
      <c r="J36" s="15">
        <f t="shared" si="2"/>
        <v>15.44</v>
      </c>
      <c r="L36" s="18" t="s">
        <v>572</v>
      </c>
      <c r="M36" s="15" t="s">
        <v>269</v>
      </c>
      <c r="N36" s="15" t="s">
        <v>269</v>
      </c>
      <c r="O36" s="15" t="s">
        <v>282</v>
      </c>
    </row>
    <row r="37" spans="2:15">
      <c r="B37"/>
      <c r="C37" s="303" t="s">
        <v>79</v>
      </c>
      <c r="D37" s="46" t="s">
        <v>77</v>
      </c>
      <c r="E37" s="46" t="s">
        <v>1886</v>
      </c>
      <c r="F37" s="46" t="s">
        <v>249</v>
      </c>
      <c r="G37" s="18" t="s">
        <v>37</v>
      </c>
      <c r="H37" s="18" t="s">
        <v>38</v>
      </c>
      <c r="I37" s="15">
        <v>24</v>
      </c>
      <c r="J37" s="15">
        <f t="shared" ref="J37:J63" si="3">I37</f>
        <v>24</v>
      </c>
      <c r="K37" s="15">
        <v>6</v>
      </c>
      <c r="L37" s="18" t="s">
        <v>572</v>
      </c>
      <c r="M37" s="15" t="s">
        <v>269</v>
      </c>
      <c r="N37" s="15" t="s">
        <v>269</v>
      </c>
      <c r="O37" s="15" t="s">
        <v>282</v>
      </c>
    </row>
    <row r="38" spans="2:15">
      <c r="B38"/>
      <c r="C38" s="303" t="s">
        <v>79</v>
      </c>
      <c r="D38" s="46" t="s">
        <v>77</v>
      </c>
      <c r="E38" s="46" t="s">
        <v>1886</v>
      </c>
      <c r="F38" s="46" t="s">
        <v>249</v>
      </c>
      <c r="G38" s="18" t="s">
        <v>39</v>
      </c>
      <c r="H38" s="18" t="s">
        <v>40</v>
      </c>
      <c r="I38" s="15">
        <v>30</v>
      </c>
      <c r="J38" s="15">
        <f t="shared" si="3"/>
        <v>30</v>
      </c>
      <c r="K38" s="15">
        <v>6</v>
      </c>
      <c r="L38" s="18" t="s">
        <v>572</v>
      </c>
      <c r="M38" s="15" t="s">
        <v>269</v>
      </c>
      <c r="N38" s="15" t="s">
        <v>269</v>
      </c>
      <c r="O38" s="15" t="s">
        <v>282</v>
      </c>
    </row>
    <row r="39" spans="2:15">
      <c r="B39"/>
      <c r="C39" s="303" t="s">
        <v>79</v>
      </c>
      <c r="D39" s="46" t="s">
        <v>77</v>
      </c>
      <c r="E39" s="46" t="s">
        <v>1886</v>
      </c>
      <c r="F39" s="46" t="s">
        <v>249</v>
      </c>
      <c r="G39" s="18" t="s">
        <v>39</v>
      </c>
      <c r="H39" s="18" t="s">
        <v>41</v>
      </c>
      <c r="I39" s="15">
        <v>7.4</v>
      </c>
      <c r="J39" s="15">
        <f t="shared" si="3"/>
        <v>7.4</v>
      </c>
      <c r="K39" s="15">
        <v>2</v>
      </c>
      <c r="L39" s="18" t="s">
        <v>572</v>
      </c>
      <c r="M39" s="15" t="s">
        <v>269</v>
      </c>
      <c r="N39" s="15" t="s">
        <v>269</v>
      </c>
      <c r="O39" s="15" t="s">
        <v>282</v>
      </c>
    </row>
    <row r="40" spans="2:15">
      <c r="B40"/>
      <c r="C40" s="303" t="s">
        <v>79</v>
      </c>
      <c r="D40" s="46" t="s">
        <v>77</v>
      </c>
      <c r="E40" s="46" t="s">
        <v>1886</v>
      </c>
      <c r="F40" s="46" t="s">
        <v>249</v>
      </c>
      <c r="G40" s="18" t="s">
        <v>39</v>
      </c>
      <c r="H40" s="18" t="s">
        <v>42</v>
      </c>
      <c r="I40" s="15">
        <v>10.3</v>
      </c>
      <c r="J40" s="15">
        <f t="shared" si="3"/>
        <v>10.3</v>
      </c>
      <c r="K40" s="15">
        <v>2</v>
      </c>
      <c r="L40" s="18" t="s">
        <v>572</v>
      </c>
      <c r="M40" s="15" t="s">
        <v>269</v>
      </c>
      <c r="N40" s="15" t="s">
        <v>269</v>
      </c>
      <c r="O40" s="15" t="s">
        <v>282</v>
      </c>
    </row>
    <row r="41" spans="2:15">
      <c r="B41"/>
      <c r="C41" s="303" t="s">
        <v>79</v>
      </c>
      <c r="D41" s="46" t="s">
        <v>77</v>
      </c>
      <c r="E41" s="46" t="s">
        <v>1886</v>
      </c>
      <c r="F41" s="46" t="s">
        <v>249</v>
      </c>
      <c r="G41" s="18" t="s">
        <v>72</v>
      </c>
      <c r="H41" s="18" t="s">
        <v>43</v>
      </c>
      <c r="I41" s="15">
        <v>14.55</v>
      </c>
      <c r="J41" s="15">
        <f t="shared" si="3"/>
        <v>14.55</v>
      </c>
      <c r="K41" s="15">
        <v>2</v>
      </c>
      <c r="L41" s="18" t="s">
        <v>572</v>
      </c>
      <c r="M41" s="15" t="s">
        <v>269</v>
      </c>
      <c r="N41" s="15" t="s">
        <v>269</v>
      </c>
      <c r="O41" s="15" t="s">
        <v>282</v>
      </c>
    </row>
    <row r="42" spans="2:15">
      <c r="B42"/>
      <c r="C42" s="303" t="s">
        <v>79</v>
      </c>
      <c r="D42" s="46" t="s">
        <v>77</v>
      </c>
      <c r="E42" s="46" t="s">
        <v>1886</v>
      </c>
      <c r="F42" s="46" t="s">
        <v>249</v>
      </c>
      <c r="G42" s="18" t="s">
        <v>44</v>
      </c>
      <c r="H42" s="18" t="s">
        <v>45</v>
      </c>
      <c r="I42" s="15">
        <v>11.7</v>
      </c>
      <c r="J42" s="15">
        <f t="shared" si="3"/>
        <v>11.7</v>
      </c>
      <c r="K42" s="15">
        <v>2</v>
      </c>
      <c r="L42" s="18" t="s">
        <v>572</v>
      </c>
      <c r="M42" s="15" t="s">
        <v>269</v>
      </c>
      <c r="N42" s="15" t="s">
        <v>269</v>
      </c>
      <c r="O42" s="15" t="s">
        <v>282</v>
      </c>
    </row>
    <row r="43" spans="2:15">
      <c r="B43"/>
      <c r="C43" s="303" t="s">
        <v>79</v>
      </c>
      <c r="D43" s="46" t="s">
        <v>77</v>
      </c>
      <c r="E43" s="46" t="s">
        <v>1886</v>
      </c>
      <c r="F43" s="46" t="s">
        <v>249</v>
      </c>
      <c r="G43" s="18" t="s">
        <v>46</v>
      </c>
      <c r="H43" s="18" t="s">
        <v>47</v>
      </c>
      <c r="I43" s="15">
        <v>18.600000000000001</v>
      </c>
      <c r="J43" s="15">
        <f t="shared" si="3"/>
        <v>18.600000000000001</v>
      </c>
      <c r="K43" s="15">
        <v>2</v>
      </c>
      <c r="L43" s="18" t="s">
        <v>572</v>
      </c>
      <c r="M43" s="15" t="s">
        <v>269</v>
      </c>
      <c r="N43" s="15" t="s">
        <v>269</v>
      </c>
      <c r="O43" s="15" t="s">
        <v>282</v>
      </c>
    </row>
    <row r="44" spans="2:15">
      <c r="B44"/>
      <c r="C44" s="303" t="s">
        <v>79</v>
      </c>
      <c r="D44" s="46" t="s">
        <v>77</v>
      </c>
      <c r="E44" s="46" t="s">
        <v>1886</v>
      </c>
      <c r="F44" s="46" t="s">
        <v>249</v>
      </c>
      <c r="G44" s="18" t="s">
        <v>48</v>
      </c>
      <c r="H44" s="18" t="s">
        <v>49</v>
      </c>
      <c r="I44" s="15">
        <v>5.45</v>
      </c>
      <c r="J44" s="15">
        <f t="shared" si="3"/>
        <v>5.45</v>
      </c>
      <c r="L44" s="18" t="s">
        <v>572</v>
      </c>
      <c r="M44" s="15" t="s">
        <v>269</v>
      </c>
      <c r="N44" s="15" t="s">
        <v>269</v>
      </c>
      <c r="O44" s="15" t="s">
        <v>282</v>
      </c>
    </row>
    <row r="45" spans="2:15">
      <c r="B45"/>
      <c r="C45" s="303" t="s">
        <v>79</v>
      </c>
      <c r="D45" s="46" t="s">
        <v>77</v>
      </c>
      <c r="E45" s="46" t="s">
        <v>1886</v>
      </c>
      <c r="F45" s="46" t="s">
        <v>249</v>
      </c>
      <c r="G45" s="18" t="s">
        <v>73</v>
      </c>
      <c r="H45" s="18" t="s">
        <v>50</v>
      </c>
      <c r="I45" s="15">
        <v>8.6</v>
      </c>
      <c r="J45" s="15">
        <f t="shared" si="3"/>
        <v>8.6</v>
      </c>
      <c r="K45" s="15">
        <v>1</v>
      </c>
      <c r="L45" s="18" t="s">
        <v>572</v>
      </c>
      <c r="M45" s="15" t="s">
        <v>269</v>
      </c>
      <c r="N45" s="15" t="s">
        <v>269</v>
      </c>
      <c r="O45" s="15" t="s">
        <v>282</v>
      </c>
    </row>
    <row r="46" spans="2:15">
      <c r="B46"/>
      <c r="C46" s="303" t="s">
        <v>79</v>
      </c>
      <c r="D46" s="46" t="s">
        <v>77</v>
      </c>
      <c r="E46" s="46" t="s">
        <v>1886</v>
      </c>
      <c r="F46" s="46" t="s">
        <v>249</v>
      </c>
      <c r="G46" s="18" t="s">
        <v>39</v>
      </c>
      <c r="H46" s="12" t="s">
        <v>51</v>
      </c>
      <c r="I46" s="15">
        <v>23.1</v>
      </c>
      <c r="J46" s="15">
        <f t="shared" si="3"/>
        <v>23.1</v>
      </c>
      <c r="K46" s="15">
        <v>6</v>
      </c>
      <c r="L46" s="18" t="s">
        <v>572</v>
      </c>
      <c r="M46" s="15" t="s">
        <v>269</v>
      </c>
      <c r="N46" s="15" t="s">
        <v>269</v>
      </c>
      <c r="O46" s="15" t="s">
        <v>282</v>
      </c>
    </row>
    <row r="47" spans="2:15">
      <c r="B47"/>
      <c r="C47" s="303" t="s">
        <v>79</v>
      </c>
      <c r="D47" s="46" t="s">
        <v>77</v>
      </c>
      <c r="E47" s="46" t="s">
        <v>1886</v>
      </c>
      <c r="F47" s="46" t="s">
        <v>248</v>
      </c>
      <c r="G47" s="18" t="s">
        <v>92</v>
      </c>
      <c r="H47" s="18" t="s">
        <v>13</v>
      </c>
      <c r="I47" s="15">
        <v>54</v>
      </c>
      <c r="J47" s="15">
        <f t="shared" si="3"/>
        <v>54</v>
      </c>
      <c r="K47" s="15">
        <v>35</v>
      </c>
      <c r="L47" s="18" t="s">
        <v>572</v>
      </c>
      <c r="M47" s="12" t="s">
        <v>269</v>
      </c>
      <c r="N47" s="18" t="s">
        <v>269</v>
      </c>
      <c r="O47" s="18" t="s">
        <v>282</v>
      </c>
    </row>
    <row r="48" spans="2:15">
      <c r="B48"/>
      <c r="C48" s="303" t="s">
        <v>79</v>
      </c>
      <c r="D48" s="46" t="s">
        <v>77</v>
      </c>
      <c r="E48" s="46" t="s">
        <v>1886</v>
      </c>
      <c r="F48" s="46" t="s">
        <v>248</v>
      </c>
      <c r="G48" s="18" t="s">
        <v>80</v>
      </c>
      <c r="H48" s="18" t="s">
        <v>81</v>
      </c>
      <c r="I48" s="15">
        <v>66</v>
      </c>
      <c r="J48" s="15">
        <f t="shared" si="3"/>
        <v>66</v>
      </c>
      <c r="K48" s="15">
        <v>50</v>
      </c>
      <c r="L48" s="18" t="s">
        <v>572</v>
      </c>
      <c r="M48" s="15" t="s">
        <v>270</v>
      </c>
      <c r="N48" s="15" t="s">
        <v>276</v>
      </c>
      <c r="O48" s="15" t="s">
        <v>282</v>
      </c>
    </row>
    <row r="49" spans="2:15">
      <c r="B49"/>
      <c r="C49" s="303" t="s">
        <v>79</v>
      </c>
      <c r="D49" s="46" t="s">
        <v>77</v>
      </c>
      <c r="E49" s="46" t="s">
        <v>1886</v>
      </c>
      <c r="F49" s="46" t="s">
        <v>248</v>
      </c>
      <c r="G49" s="18" t="s">
        <v>92</v>
      </c>
      <c r="H49" s="18" t="s">
        <v>5</v>
      </c>
      <c r="I49" s="15">
        <v>52.2</v>
      </c>
      <c r="J49" s="15">
        <f t="shared" si="3"/>
        <v>52.2</v>
      </c>
      <c r="K49" s="15">
        <v>35</v>
      </c>
      <c r="L49" s="18" t="s">
        <v>572</v>
      </c>
      <c r="M49" s="15" t="s">
        <v>269</v>
      </c>
      <c r="N49" s="15" t="s">
        <v>269</v>
      </c>
      <c r="O49" s="15" t="s">
        <v>282</v>
      </c>
    </row>
    <row r="50" spans="2:15">
      <c r="B50"/>
      <c r="C50" s="303" t="s">
        <v>79</v>
      </c>
      <c r="D50" s="46" t="s">
        <v>77</v>
      </c>
      <c r="E50" s="46" t="s">
        <v>1886</v>
      </c>
      <c r="F50" s="46" t="s">
        <v>248</v>
      </c>
      <c r="G50" s="18" t="s">
        <v>92</v>
      </c>
      <c r="H50" s="18" t="s">
        <v>6</v>
      </c>
      <c r="I50" s="15">
        <v>54</v>
      </c>
      <c r="J50" s="15">
        <f t="shared" si="3"/>
        <v>54</v>
      </c>
      <c r="K50" s="15">
        <v>35</v>
      </c>
      <c r="L50" s="18" t="s">
        <v>572</v>
      </c>
      <c r="M50" s="15" t="s">
        <v>269</v>
      </c>
      <c r="N50" s="15" t="s">
        <v>269</v>
      </c>
      <c r="O50" s="15" t="s">
        <v>282</v>
      </c>
    </row>
    <row r="51" spans="2:15">
      <c r="B51"/>
      <c r="C51" s="303" t="s">
        <v>79</v>
      </c>
      <c r="D51" s="46" t="s">
        <v>77</v>
      </c>
      <c r="E51" s="46" t="s">
        <v>1886</v>
      </c>
      <c r="F51" s="46" t="s">
        <v>248</v>
      </c>
      <c r="G51" s="18" t="s">
        <v>92</v>
      </c>
      <c r="H51" s="18" t="s">
        <v>12</v>
      </c>
      <c r="I51" s="15">
        <v>54</v>
      </c>
      <c r="J51" s="15">
        <f t="shared" si="3"/>
        <v>54</v>
      </c>
      <c r="K51" s="15">
        <v>35</v>
      </c>
      <c r="L51" s="18" t="s">
        <v>572</v>
      </c>
      <c r="M51" s="15" t="s">
        <v>269</v>
      </c>
      <c r="N51" s="15" t="s">
        <v>269</v>
      </c>
      <c r="O51" s="15" t="s">
        <v>282</v>
      </c>
    </row>
    <row r="52" spans="2:15">
      <c r="B52"/>
      <c r="C52" s="303" t="s">
        <v>79</v>
      </c>
      <c r="D52" s="46" t="s">
        <v>77</v>
      </c>
      <c r="E52" s="46"/>
      <c r="F52" s="46" t="s">
        <v>109</v>
      </c>
      <c r="G52" s="18" t="s">
        <v>3</v>
      </c>
      <c r="H52" s="18" t="s">
        <v>112</v>
      </c>
      <c r="I52" s="32">
        <v>360.75</v>
      </c>
      <c r="J52" s="15">
        <f t="shared" si="3"/>
        <v>360.75</v>
      </c>
      <c r="K52" s="15">
        <v>70</v>
      </c>
      <c r="L52" s="18" t="s">
        <v>270</v>
      </c>
      <c r="M52" s="15" t="s">
        <v>269</v>
      </c>
      <c r="N52" s="15" t="s">
        <v>269</v>
      </c>
      <c r="O52" s="15" t="s">
        <v>282</v>
      </c>
    </row>
    <row r="53" spans="2:15">
      <c r="B53"/>
      <c r="C53" s="303" t="s">
        <v>79</v>
      </c>
      <c r="D53" s="46" t="s">
        <v>77</v>
      </c>
      <c r="E53" s="46"/>
      <c r="F53" s="81" t="s">
        <v>1313</v>
      </c>
      <c r="G53" s="82" t="s">
        <v>34</v>
      </c>
      <c r="H53" s="82" t="s">
        <v>668</v>
      </c>
      <c r="I53" s="83">
        <v>163</v>
      </c>
      <c r="J53" s="84">
        <f t="shared" si="3"/>
        <v>163</v>
      </c>
      <c r="K53" s="84">
        <v>72</v>
      </c>
      <c r="L53" s="84" t="s">
        <v>268</v>
      </c>
      <c r="M53" s="84" t="s">
        <v>269</v>
      </c>
      <c r="N53" s="84" t="s">
        <v>279</v>
      </c>
      <c r="O53" s="15" t="s">
        <v>100</v>
      </c>
    </row>
    <row r="54" spans="2:15">
      <c r="B54"/>
      <c r="C54" s="303" t="s">
        <v>79</v>
      </c>
      <c r="D54" s="46" t="s">
        <v>77</v>
      </c>
      <c r="E54" s="46"/>
      <c r="F54" s="46" t="s">
        <v>355</v>
      </c>
      <c r="G54" s="18" t="s">
        <v>33</v>
      </c>
      <c r="H54" s="18" t="s">
        <v>669</v>
      </c>
      <c r="I54" s="32">
        <v>11.21</v>
      </c>
      <c r="J54" s="15">
        <f t="shared" si="3"/>
        <v>11.21</v>
      </c>
      <c r="K54" s="15">
        <v>2</v>
      </c>
      <c r="L54" s="18" t="s">
        <v>572</v>
      </c>
      <c r="M54" s="15" t="s">
        <v>269</v>
      </c>
      <c r="N54" s="15" t="s">
        <v>279</v>
      </c>
      <c r="O54" s="15" t="s">
        <v>100</v>
      </c>
    </row>
    <row r="55" spans="2:15">
      <c r="B55"/>
      <c r="C55" s="303" t="s">
        <v>79</v>
      </c>
      <c r="D55" s="46" t="s">
        <v>77</v>
      </c>
      <c r="E55" s="46"/>
      <c r="F55" s="46" t="s">
        <v>355</v>
      </c>
      <c r="G55" s="18" t="s">
        <v>94</v>
      </c>
      <c r="H55" s="18" t="s">
        <v>93</v>
      </c>
      <c r="I55" s="15">
        <v>6.1</v>
      </c>
      <c r="J55" s="15">
        <f t="shared" si="3"/>
        <v>6.1</v>
      </c>
      <c r="L55" s="18" t="s">
        <v>572</v>
      </c>
      <c r="M55" s="15" t="s">
        <v>275</v>
      </c>
      <c r="N55" s="15" t="s">
        <v>269</v>
      </c>
      <c r="O55" s="15" t="s">
        <v>100</v>
      </c>
    </row>
    <row r="56" spans="2:15">
      <c r="B56"/>
      <c r="C56" s="303" t="s">
        <v>79</v>
      </c>
      <c r="D56" s="46" t="s">
        <v>77</v>
      </c>
      <c r="E56" s="46"/>
      <c r="F56" s="46" t="s">
        <v>27</v>
      </c>
      <c r="G56" s="18" t="s">
        <v>27</v>
      </c>
      <c r="H56" s="18" t="s">
        <v>95</v>
      </c>
      <c r="I56" s="15">
        <v>2</v>
      </c>
      <c r="J56" s="15">
        <f t="shared" si="3"/>
        <v>2</v>
      </c>
      <c r="L56" s="18" t="s">
        <v>572</v>
      </c>
      <c r="M56" s="15" t="s">
        <v>275</v>
      </c>
      <c r="N56" s="15" t="s">
        <v>269</v>
      </c>
      <c r="O56" s="15" t="s">
        <v>100</v>
      </c>
    </row>
    <row r="57" spans="2:15">
      <c r="B57"/>
      <c r="C57" s="303" t="s">
        <v>79</v>
      </c>
      <c r="D57" s="46" t="s">
        <v>77</v>
      </c>
      <c r="E57" s="46" t="s">
        <v>1886</v>
      </c>
      <c r="F57" s="46" t="s">
        <v>211</v>
      </c>
      <c r="G57" s="18" t="s">
        <v>4</v>
      </c>
      <c r="H57" s="18" t="s">
        <v>96</v>
      </c>
      <c r="I57" s="15">
        <v>16.559999999999999</v>
      </c>
      <c r="J57" s="15">
        <f t="shared" si="3"/>
        <v>16.559999999999999</v>
      </c>
      <c r="L57" s="18" t="s">
        <v>572</v>
      </c>
      <c r="M57" s="15" t="s">
        <v>269</v>
      </c>
      <c r="N57" s="15" t="s">
        <v>269</v>
      </c>
      <c r="O57" s="15" t="s">
        <v>282</v>
      </c>
    </row>
    <row r="58" spans="2:15">
      <c r="B58"/>
      <c r="C58" s="303" t="s">
        <v>79</v>
      </c>
      <c r="D58" s="46" t="s">
        <v>77</v>
      </c>
      <c r="E58" s="46"/>
      <c r="F58" s="46" t="s">
        <v>355</v>
      </c>
      <c r="G58" s="15" t="s">
        <v>98</v>
      </c>
      <c r="H58" s="18" t="s">
        <v>97</v>
      </c>
      <c r="I58" s="15">
        <v>30.78</v>
      </c>
      <c r="J58" s="15">
        <f t="shared" si="3"/>
        <v>30.78</v>
      </c>
      <c r="L58" s="18" t="s">
        <v>572</v>
      </c>
      <c r="M58" s="15" t="s">
        <v>275</v>
      </c>
      <c r="N58" s="15" t="s">
        <v>362</v>
      </c>
      <c r="O58" s="15" t="s">
        <v>100</v>
      </c>
    </row>
    <row r="59" spans="2:15">
      <c r="B59"/>
      <c r="C59" s="303" t="s">
        <v>79</v>
      </c>
      <c r="D59" s="46" t="s">
        <v>77</v>
      </c>
      <c r="E59" s="46"/>
      <c r="F59" s="46" t="s">
        <v>602</v>
      </c>
      <c r="G59" s="15" t="s">
        <v>26</v>
      </c>
      <c r="H59" s="18" t="s">
        <v>671</v>
      </c>
      <c r="I59" s="15">
        <v>8.07</v>
      </c>
      <c r="J59" s="15">
        <f t="shared" si="3"/>
        <v>8.07</v>
      </c>
      <c r="L59" s="18" t="s">
        <v>572</v>
      </c>
      <c r="M59" s="15" t="s">
        <v>269</v>
      </c>
      <c r="N59" s="15" t="s">
        <v>100</v>
      </c>
      <c r="O59" s="15" t="s">
        <v>100</v>
      </c>
    </row>
    <row r="60" spans="2:15">
      <c r="B60"/>
      <c r="C60" s="303" t="s">
        <v>79</v>
      </c>
      <c r="D60" s="46" t="s">
        <v>77</v>
      </c>
      <c r="E60" s="46"/>
      <c r="F60" s="46" t="s">
        <v>27</v>
      </c>
      <c r="G60" s="15" t="s">
        <v>27</v>
      </c>
      <c r="H60" s="18" t="s">
        <v>99</v>
      </c>
      <c r="I60" s="15">
        <v>1.56</v>
      </c>
      <c r="J60" s="15">
        <f t="shared" si="3"/>
        <v>1.56</v>
      </c>
      <c r="L60" s="18" t="s">
        <v>572</v>
      </c>
      <c r="M60" s="15" t="s">
        <v>269</v>
      </c>
      <c r="N60" s="15" t="s">
        <v>269</v>
      </c>
      <c r="O60" s="15" t="s">
        <v>282</v>
      </c>
    </row>
    <row r="61" spans="2:15">
      <c r="B61"/>
      <c r="C61" s="303" t="s">
        <v>79</v>
      </c>
      <c r="D61" s="46" t="s">
        <v>77</v>
      </c>
      <c r="E61" s="46"/>
      <c r="F61" s="46" t="s">
        <v>27</v>
      </c>
      <c r="G61" s="15" t="s">
        <v>27</v>
      </c>
      <c r="H61" s="18" t="s">
        <v>101</v>
      </c>
      <c r="I61" s="15">
        <v>2.44</v>
      </c>
      <c r="J61" s="15">
        <f t="shared" si="3"/>
        <v>2.44</v>
      </c>
      <c r="L61" s="18" t="s">
        <v>572</v>
      </c>
      <c r="M61" s="15" t="s">
        <v>269</v>
      </c>
      <c r="N61" s="15" t="s">
        <v>269</v>
      </c>
      <c r="O61" s="15" t="s">
        <v>282</v>
      </c>
    </row>
    <row r="62" spans="2:15">
      <c r="B62"/>
      <c r="C62" s="303" t="s">
        <v>79</v>
      </c>
      <c r="D62" s="46" t="s">
        <v>77</v>
      </c>
      <c r="E62" s="46"/>
      <c r="F62" s="46" t="s">
        <v>27</v>
      </c>
      <c r="G62" s="15" t="s">
        <v>27</v>
      </c>
      <c r="H62" s="18" t="s">
        <v>102</v>
      </c>
      <c r="I62" s="15">
        <v>1.6</v>
      </c>
      <c r="J62" s="15">
        <f t="shared" si="3"/>
        <v>1.6</v>
      </c>
      <c r="L62" s="18" t="s">
        <v>572</v>
      </c>
      <c r="M62" s="15" t="s">
        <v>269</v>
      </c>
      <c r="N62" s="15" t="s">
        <v>269</v>
      </c>
      <c r="O62" s="15" t="s">
        <v>282</v>
      </c>
    </row>
    <row r="63" spans="2:15">
      <c r="B63"/>
      <c r="C63" s="303" t="s">
        <v>79</v>
      </c>
      <c r="D63" s="46" t="s">
        <v>77</v>
      </c>
      <c r="E63" s="46"/>
      <c r="F63" s="46" t="s">
        <v>27</v>
      </c>
      <c r="G63" s="15" t="s">
        <v>27</v>
      </c>
      <c r="H63" s="18" t="s">
        <v>670</v>
      </c>
      <c r="I63" s="15">
        <v>2.75</v>
      </c>
      <c r="J63" s="15">
        <f t="shared" si="3"/>
        <v>2.75</v>
      </c>
      <c r="L63" s="18" t="s">
        <v>572</v>
      </c>
      <c r="M63" s="15" t="s">
        <v>269</v>
      </c>
      <c r="N63" s="15" t="s">
        <v>269</v>
      </c>
      <c r="O63" s="15" t="s">
        <v>282</v>
      </c>
    </row>
    <row r="64" spans="2:15">
      <c r="B64"/>
      <c r="C64" s="303" t="s">
        <v>79</v>
      </c>
      <c r="D64" s="46" t="s">
        <v>77</v>
      </c>
      <c r="E64" s="46"/>
      <c r="F64" s="46" t="s">
        <v>27</v>
      </c>
      <c r="G64" s="15" t="s">
        <v>27</v>
      </c>
      <c r="H64" s="18" t="s">
        <v>168</v>
      </c>
      <c r="I64" s="15">
        <v>1.4</v>
      </c>
      <c r="J64" s="15">
        <f>I64</f>
        <v>1.4</v>
      </c>
      <c r="L64" s="18" t="s">
        <v>572</v>
      </c>
      <c r="M64" s="15" t="s">
        <v>269</v>
      </c>
      <c r="N64" s="15" t="s">
        <v>269</v>
      </c>
      <c r="O64" s="15" t="s">
        <v>282</v>
      </c>
    </row>
    <row r="65" spans="2:15">
      <c r="B65"/>
      <c r="C65" s="303" t="s">
        <v>79</v>
      </c>
      <c r="D65" s="46" t="s">
        <v>77</v>
      </c>
      <c r="E65" s="46" t="s">
        <v>1886</v>
      </c>
      <c r="F65" s="46" t="s">
        <v>249</v>
      </c>
      <c r="G65" s="18" t="s">
        <v>52</v>
      </c>
      <c r="H65" s="12" t="s">
        <v>53</v>
      </c>
      <c r="I65" s="15">
        <v>12.6</v>
      </c>
      <c r="J65" s="15">
        <f>I65</f>
        <v>12.6</v>
      </c>
      <c r="K65" s="15">
        <v>2</v>
      </c>
      <c r="L65" s="18" t="s">
        <v>572</v>
      </c>
      <c r="M65" s="15" t="s">
        <v>269</v>
      </c>
      <c r="N65" s="15" t="s">
        <v>269</v>
      </c>
      <c r="O65" s="15" t="s">
        <v>100</v>
      </c>
    </row>
    <row r="66" spans="2:15">
      <c r="B66"/>
      <c r="C66" s="303" t="s">
        <v>79</v>
      </c>
      <c r="D66" s="46" t="s">
        <v>77</v>
      </c>
      <c r="E66" s="46" t="s">
        <v>1886</v>
      </c>
      <c r="F66" s="46" t="s">
        <v>249</v>
      </c>
      <c r="G66" s="18" t="s">
        <v>31</v>
      </c>
      <c r="H66" s="12" t="s">
        <v>54</v>
      </c>
      <c r="I66" s="15">
        <v>14.7</v>
      </c>
      <c r="J66" s="15">
        <f>I66</f>
        <v>14.7</v>
      </c>
      <c r="K66" s="15">
        <v>2</v>
      </c>
      <c r="L66" s="18" t="s">
        <v>572</v>
      </c>
      <c r="M66" s="15" t="s">
        <v>275</v>
      </c>
      <c r="N66" s="15" t="s">
        <v>362</v>
      </c>
      <c r="O66" s="15" t="s">
        <v>100</v>
      </c>
    </row>
    <row r="67" spans="2:15">
      <c r="B67"/>
      <c r="C67" s="303" t="s">
        <v>79</v>
      </c>
      <c r="D67" s="44" t="s">
        <v>77</v>
      </c>
      <c r="E67" s="46" t="s">
        <v>1886</v>
      </c>
      <c r="F67" s="44" t="s">
        <v>596</v>
      </c>
      <c r="G67" s="15" t="s">
        <v>144</v>
      </c>
      <c r="H67" s="18" t="s">
        <v>12</v>
      </c>
      <c r="I67" s="15">
        <v>47.1</v>
      </c>
      <c r="J67" s="15">
        <f t="shared" ref="J67:J87" si="4">I67</f>
        <v>47.1</v>
      </c>
      <c r="K67" s="15">
        <v>28</v>
      </c>
      <c r="L67" s="18" t="s">
        <v>572</v>
      </c>
      <c r="M67" s="12" t="s">
        <v>269</v>
      </c>
      <c r="N67" s="12" t="s">
        <v>269</v>
      </c>
      <c r="O67" s="15" t="s">
        <v>282</v>
      </c>
    </row>
    <row r="68" spans="2:15">
      <c r="B68"/>
      <c r="C68" s="303" t="s">
        <v>79</v>
      </c>
      <c r="D68" s="44" t="s">
        <v>77</v>
      </c>
      <c r="E68" s="44"/>
      <c r="F68" s="44" t="s">
        <v>192</v>
      </c>
      <c r="G68" s="15" t="s">
        <v>176</v>
      </c>
      <c r="H68" s="18" t="s">
        <v>177</v>
      </c>
      <c r="I68" s="15">
        <v>12.13</v>
      </c>
      <c r="J68" s="15">
        <f t="shared" si="4"/>
        <v>12.13</v>
      </c>
      <c r="L68" s="18" t="s">
        <v>572</v>
      </c>
      <c r="M68" s="15" t="s">
        <v>275</v>
      </c>
      <c r="N68" s="15" t="s">
        <v>269</v>
      </c>
      <c r="O68" s="15" t="s">
        <v>100</v>
      </c>
    </row>
    <row r="69" spans="2:15">
      <c r="B69"/>
      <c r="C69" s="303" t="s">
        <v>79</v>
      </c>
      <c r="D69" s="44" t="s">
        <v>77</v>
      </c>
      <c r="E69" s="44"/>
      <c r="F69" s="44" t="s">
        <v>192</v>
      </c>
      <c r="G69" s="15" t="s">
        <v>178</v>
      </c>
      <c r="H69" s="18" t="s">
        <v>179</v>
      </c>
      <c r="I69" s="15">
        <v>12.32</v>
      </c>
      <c r="J69" s="15">
        <f t="shared" si="4"/>
        <v>12.32</v>
      </c>
      <c r="L69" s="18" t="s">
        <v>572</v>
      </c>
      <c r="M69" s="15" t="s">
        <v>275</v>
      </c>
      <c r="N69" s="15" t="s">
        <v>269</v>
      </c>
      <c r="O69" s="15" t="s">
        <v>100</v>
      </c>
    </row>
    <row r="70" spans="2:15">
      <c r="B70"/>
      <c r="C70" s="303" t="s">
        <v>79</v>
      </c>
      <c r="D70" s="44" t="s">
        <v>77</v>
      </c>
      <c r="E70" s="44"/>
      <c r="F70" s="44" t="s">
        <v>192</v>
      </c>
      <c r="G70" s="15" t="s">
        <v>178</v>
      </c>
      <c r="H70" s="18" t="s">
        <v>180</v>
      </c>
      <c r="I70" s="15">
        <v>27.68</v>
      </c>
      <c r="J70" s="15">
        <f t="shared" si="4"/>
        <v>27.68</v>
      </c>
      <c r="L70" s="18" t="s">
        <v>572</v>
      </c>
      <c r="M70" s="15" t="s">
        <v>275</v>
      </c>
      <c r="N70" s="15" t="s">
        <v>269</v>
      </c>
      <c r="O70" s="15" t="s">
        <v>100</v>
      </c>
    </row>
    <row r="71" spans="2:15">
      <c r="B71"/>
      <c r="C71" s="303" t="s">
        <v>79</v>
      </c>
      <c r="D71" s="44" t="s">
        <v>77</v>
      </c>
      <c r="E71" s="44"/>
      <c r="F71" s="44" t="s">
        <v>192</v>
      </c>
      <c r="G71" s="15" t="s">
        <v>176</v>
      </c>
      <c r="H71" s="18" t="s">
        <v>181</v>
      </c>
      <c r="I71" s="15">
        <v>27.62</v>
      </c>
      <c r="J71" s="15">
        <f t="shared" si="4"/>
        <v>27.62</v>
      </c>
      <c r="L71" s="18" t="s">
        <v>572</v>
      </c>
      <c r="M71" s="32" t="s">
        <v>275</v>
      </c>
      <c r="N71" s="32" t="s">
        <v>269</v>
      </c>
      <c r="O71" s="35" t="s">
        <v>100</v>
      </c>
    </row>
    <row r="72" spans="2:15">
      <c r="B72"/>
      <c r="C72" s="303" t="s">
        <v>79</v>
      </c>
      <c r="D72" s="44" t="s">
        <v>77</v>
      </c>
      <c r="E72" s="44"/>
      <c r="F72" s="44" t="s">
        <v>192</v>
      </c>
      <c r="G72" s="18" t="s">
        <v>182</v>
      </c>
      <c r="H72" s="18" t="s">
        <v>117</v>
      </c>
      <c r="I72" s="15">
        <v>2</v>
      </c>
      <c r="J72" s="15">
        <f t="shared" si="4"/>
        <v>2</v>
      </c>
      <c r="L72" s="18" t="s">
        <v>572</v>
      </c>
      <c r="M72" s="32" t="s">
        <v>275</v>
      </c>
      <c r="N72" s="32" t="s">
        <v>269</v>
      </c>
      <c r="O72" s="35" t="s">
        <v>100</v>
      </c>
    </row>
    <row r="73" spans="2:15">
      <c r="B73"/>
      <c r="C73" s="303" t="s">
        <v>79</v>
      </c>
      <c r="D73" s="44" t="s">
        <v>77</v>
      </c>
      <c r="E73" s="44"/>
      <c r="F73" s="44" t="s">
        <v>192</v>
      </c>
      <c r="G73" s="18" t="s">
        <v>183</v>
      </c>
      <c r="H73" s="18" t="s">
        <v>119</v>
      </c>
      <c r="I73" s="15">
        <v>2.0499999999999998</v>
      </c>
      <c r="J73" s="15">
        <f t="shared" si="4"/>
        <v>2.0499999999999998</v>
      </c>
      <c r="L73" s="18" t="s">
        <v>572</v>
      </c>
      <c r="M73" s="32" t="s">
        <v>275</v>
      </c>
      <c r="N73" s="32" t="s">
        <v>269</v>
      </c>
      <c r="O73" s="35" t="s">
        <v>100</v>
      </c>
    </row>
    <row r="74" spans="2:15">
      <c r="B74"/>
      <c r="C74" s="303" t="s">
        <v>79</v>
      </c>
      <c r="D74" s="44" t="s">
        <v>77</v>
      </c>
      <c r="E74" s="44"/>
      <c r="F74" s="44" t="s">
        <v>192</v>
      </c>
      <c r="G74" s="15" t="s">
        <v>178</v>
      </c>
      <c r="H74" s="18" t="s">
        <v>184</v>
      </c>
      <c r="I74" s="15">
        <v>2.8</v>
      </c>
      <c r="J74" s="15">
        <f t="shared" si="4"/>
        <v>2.8</v>
      </c>
      <c r="L74" s="18" t="s">
        <v>572</v>
      </c>
      <c r="M74" s="32" t="s">
        <v>275</v>
      </c>
      <c r="N74" s="32" t="s">
        <v>269</v>
      </c>
      <c r="O74" s="35" t="s">
        <v>100</v>
      </c>
    </row>
    <row r="75" spans="2:15">
      <c r="B75"/>
      <c r="C75" s="303" t="s">
        <v>79</v>
      </c>
      <c r="D75" s="44" t="s">
        <v>77</v>
      </c>
      <c r="E75" s="44"/>
      <c r="F75" s="44" t="s">
        <v>192</v>
      </c>
      <c r="G75" s="15" t="s">
        <v>176</v>
      </c>
      <c r="H75" s="18" t="s">
        <v>185</v>
      </c>
      <c r="I75" s="15">
        <v>2.7</v>
      </c>
      <c r="J75" s="15">
        <f t="shared" si="4"/>
        <v>2.7</v>
      </c>
      <c r="L75" s="18" t="s">
        <v>572</v>
      </c>
      <c r="M75" s="32" t="s">
        <v>275</v>
      </c>
      <c r="N75" s="32" t="s">
        <v>269</v>
      </c>
      <c r="O75" s="35" t="s">
        <v>100</v>
      </c>
    </row>
    <row r="76" spans="2:15">
      <c r="B76"/>
      <c r="C76" s="303" t="s">
        <v>79</v>
      </c>
      <c r="D76" s="44" t="s">
        <v>77</v>
      </c>
      <c r="E76" s="44"/>
      <c r="F76" s="44" t="s">
        <v>192</v>
      </c>
      <c r="G76" s="15" t="s">
        <v>190</v>
      </c>
      <c r="H76" s="18" t="s">
        <v>672</v>
      </c>
      <c r="I76" s="15">
        <v>1.45</v>
      </c>
      <c r="J76" s="15">
        <f t="shared" si="4"/>
        <v>1.45</v>
      </c>
      <c r="L76" s="18" t="s">
        <v>572</v>
      </c>
      <c r="M76" s="32" t="s">
        <v>275</v>
      </c>
      <c r="N76" s="32" t="s">
        <v>269</v>
      </c>
      <c r="O76" s="35" t="s">
        <v>100</v>
      </c>
    </row>
    <row r="77" spans="2:15">
      <c r="B77"/>
      <c r="C77" s="303" t="s">
        <v>79</v>
      </c>
      <c r="D77" s="44" t="s">
        <v>77</v>
      </c>
      <c r="E77" s="44"/>
      <c r="F77" s="44" t="s">
        <v>192</v>
      </c>
      <c r="G77" s="15" t="s">
        <v>191</v>
      </c>
      <c r="H77" s="18" t="s">
        <v>673</v>
      </c>
      <c r="I77" s="15">
        <v>1.45</v>
      </c>
      <c r="J77" s="15">
        <f t="shared" si="4"/>
        <v>1.45</v>
      </c>
      <c r="L77" s="18" t="s">
        <v>572</v>
      </c>
      <c r="M77" s="32" t="s">
        <v>275</v>
      </c>
      <c r="N77" s="32" t="s">
        <v>269</v>
      </c>
      <c r="O77" s="35" t="s">
        <v>100</v>
      </c>
    </row>
    <row r="78" spans="2:15">
      <c r="B78"/>
      <c r="C78" s="303" t="s">
        <v>79</v>
      </c>
      <c r="D78" s="44" t="s">
        <v>77</v>
      </c>
      <c r="E78" s="44"/>
      <c r="F78" s="44" t="s">
        <v>194</v>
      </c>
      <c r="G78" s="18" t="s">
        <v>197</v>
      </c>
      <c r="H78" s="18" t="s">
        <v>759</v>
      </c>
      <c r="I78" s="15">
        <v>4.57</v>
      </c>
      <c r="J78" s="15">
        <f t="shared" si="4"/>
        <v>4.57</v>
      </c>
      <c r="L78" s="18" t="s">
        <v>572</v>
      </c>
      <c r="M78" s="32" t="s">
        <v>275</v>
      </c>
      <c r="N78" s="32" t="s">
        <v>269</v>
      </c>
      <c r="O78" s="35" t="s">
        <v>100</v>
      </c>
    </row>
    <row r="79" spans="2:15">
      <c r="B79"/>
      <c r="C79" s="303" t="s">
        <v>79</v>
      </c>
      <c r="D79" s="44" t="s">
        <v>193</v>
      </c>
      <c r="E79" s="44"/>
      <c r="F79" s="44" t="s">
        <v>194</v>
      </c>
      <c r="G79" s="15" t="s">
        <v>169</v>
      </c>
      <c r="H79" s="18" t="s">
        <v>760</v>
      </c>
      <c r="I79" s="15">
        <v>1143.9000000000001</v>
      </c>
      <c r="J79" s="15">
        <f t="shared" si="4"/>
        <v>1143.9000000000001</v>
      </c>
      <c r="L79" s="18" t="s">
        <v>572</v>
      </c>
      <c r="M79" s="15" t="s">
        <v>269</v>
      </c>
      <c r="N79" s="15" t="s">
        <v>269</v>
      </c>
      <c r="O79" s="15" t="s">
        <v>282</v>
      </c>
    </row>
    <row r="80" spans="2:15">
      <c r="B80"/>
      <c r="C80" s="303" t="s">
        <v>79</v>
      </c>
      <c r="D80" s="46" t="s">
        <v>78</v>
      </c>
      <c r="E80" s="46" t="s">
        <v>1886</v>
      </c>
      <c r="F80" s="46" t="s">
        <v>249</v>
      </c>
      <c r="G80" s="18" t="s">
        <v>55</v>
      </c>
      <c r="H80" s="12" t="s">
        <v>56</v>
      </c>
      <c r="I80" s="15">
        <v>17.7</v>
      </c>
      <c r="J80" s="15">
        <f t="shared" si="4"/>
        <v>17.7</v>
      </c>
      <c r="K80" s="15">
        <v>2</v>
      </c>
      <c r="L80" s="18" t="s">
        <v>572</v>
      </c>
      <c r="M80" s="15" t="s">
        <v>269</v>
      </c>
      <c r="N80" s="15" t="s">
        <v>269</v>
      </c>
      <c r="O80" s="15" t="s">
        <v>282</v>
      </c>
    </row>
    <row r="81" spans="2:15">
      <c r="B81"/>
      <c r="C81" s="303" t="s">
        <v>79</v>
      </c>
      <c r="D81" s="46" t="s">
        <v>78</v>
      </c>
      <c r="E81" s="46" t="s">
        <v>1886</v>
      </c>
      <c r="F81" s="46" t="s">
        <v>249</v>
      </c>
      <c r="G81" s="18" t="s">
        <v>57</v>
      </c>
      <c r="H81" s="12" t="s">
        <v>58</v>
      </c>
      <c r="I81" s="15">
        <v>24</v>
      </c>
      <c r="J81" s="15">
        <f t="shared" si="4"/>
        <v>24</v>
      </c>
      <c r="K81" s="15">
        <v>15</v>
      </c>
      <c r="L81" s="18" t="s">
        <v>572</v>
      </c>
      <c r="M81" s="15" t="s">
        <v>269</v>
      </c>
      <c r="N81" s="15" t="s">
        <v>269</v>
      </c>
      <c r="O81" s="15" t="s">
        <v>282</v>
      </c>
    </row>
    <row r="82" spans="2:15">
      <c r="B82"/>
      <c r="C82" s="303" t="s">
        <v>79</v>
      </c>
      <c r="D82" s="46" t="s">
        <v>78</v>
      </c>
      <c r="E82" s="46" t="s">
        <v>1886</v>
      </c>
      <c r="F82" s="46" t="s">
        <v>249</v>
      </c>
      <c r="G82" s="18" t="s">
        <v>59</v>
      </c>
      <c r="H82" s="12" t="s">
        <v>60</v>
      </c>
      <c r="I82" s="15">
        <v>17.62</v>
      </c>
      <c r="J82" s="15">
        <f t="shared" si="4"/>
        <v>17.62</v>
      </c>
      <c r="K82" s="15">
        <v>4</v>
      </c>
      <c r="L82" s="18" t="s">
        <v>572</v>
      </c>
      <c r="M82" s="15" t="s">
        <v>269</v>
      </c>
      <c r="N82" s="15" t="s">
        <v>269</v>
      </c>
      <c r="O82" s="15" t="s">
        <v>282</v>
      </c>
    </row>
    <row r="83" spans="2:15" ht="30">
      <c r="B83"/>
      <c r="C83" s="303" t="s">
        <v>79</v>
      </c>
      <c r="D83" s="46" t="s">
        <v>78</v>
      </c>
      <c r="E83" s="46" t="s">
        <v>1886</v>
      </c>
      <c r="F83" s="46" t="s">
        <v>249</v>
      </c>
      <c r="G83" s="27" t="s">
        <v>61</v>
      </c>
      <c r="H83" s="18" t="s">
        <v>62</v>
      </c>
      <c r="I83" s="15">
        <v>17.18</v>
      </c>
      <c r="J83" s="15">
        <f t="shared" si="4"/>
        <v>17.18</v>
      </c>
      <c r="K83" s="15">
        <v>4</v>
      </c>
      <c r="L83" s="18" t="s">
        <v>572</v>
      </c>
      <c r="M83" s="15" t="s">
        <v>269</v>
      </c>
      <c r="N83" s="15" t="s">
        <v>573</v>
      </c>
      <c r="O83" s="15" t="s">
        <v>282</v>
      </c>
    </row>
    <row r="84" spans="2:15">
      <c r="B84"/>
      <c r="C84" s="303" t="s">
        <v>79</v>
      </c>
      <c r="D84" s="46" t="s">
        <v>78</v>
      </c>
      <c r="E84" s="46" t="s">
        <v>1886</v>
      </c>
      <c r="F84" s="46" t="s">
        <v>249</v>
      </c>
      <c r="G84" s="18" t="s">
        <v>63</v>
      </c>
      <c r="H84" s="12" t="s">
        <v>64</v>
      </c>
      <c r="I84" s="15">
        <v>16.309999999999999</v>
      </c>
      <c r="J84" s="15">
        <f t="shared" si="4"/>
        <v>16.309999999999999</v>
      </c>
      <c r="K84" s="15">
        <v>3</v>
      </c>
      <c r="L84" s="18" t="s">
        <v>572</v>
      </c>
      <c r="M84" s="15" t="s">
        <v>269</v>
      </c>
      <c r="N84" s="15" t="s">
        <v>573</v>
      </c>
      <c r="O84" s="15" t="s">
        <v>282</v>
      </c>
    </row>
    <row r="85" spans="2:15">
      <c r="B85"/>
      <c r="C85" s="303" t="s">
        <v>79</v>
      </c>
      <c r="D85" s="46" t="s">
        <v>78</v>
      </c>
      <c r="E85" s="46" t="s">
        <v>1886</v>
      </c>
      <c r="F85" s="46" t="s">
        <v>249</v>
      </c>
      <c r="G85" s="18" t="s">
        <v>65</v>
      </c>
      <c r="H85" s="12" t="s">
        <v>66</v>
      </c>
      <c r="I85" s="15">
        <v>17.399999999999999</v>
      </c>
      <c r="J85" s="15">
        <f t="shared" si="4"/>
        <v>17.399999999999999</v>
      </c>
      <c r="K85" s="15">
        <v>3</v>
      </c>
      <c r="L85" s="18" t="s">
        <v>572</v>
      </c>
      <c r="M85" s="15" t="s">
        <v>269</v>
      </c>
      <c r="N85" s="15" t="s">
        <v>573</v>
      </c>
      <c r="O85" s="15" t="s">
        <v>282</v>
      </c>
    </row>
    <row r="86" spans="2:15">
      <c r="B86"/>
      <c r="C86" s="303" t="s">
        <v>79</v>
      </c>
      <c r="D86" s="46" t="s">
        <v>78</v>
      </c>
      <c r="E86" s="46" t="s">
        <v>1886</v>
      </c>
      <c r="F86" s="46" t="s">
        <v>249</v>
      </c>
      <c r="G86" s="18" t="s">
        <v>67</v>
      </c>
      <c r="H86" s="18" t="s">
        <v>68</v>
      </c>
      <c r="I86" s="15">
        <v>20.45</v>
      </c>
      <c r="J86" s="15">
        <f t="shared" si="4"/>
        <v>20.45</v>
      </c>
      <c r="K86" s="15">
        <v>3</v>
      </c>
      <c r="L86" s="18" t="s">
        <v>572</v>
      </c>
      <c r="M86" s="15" t="s">
        <v>269</v>
      </c>
      <c r="N86" s="15" t="s">
        <v>573</v>
      </c>
      <c r="O86" s="15" t="s">
        <v>282</v>
      </c>
    </row>
    <row r="87" spans="2:15">
      <c r="B87"/>
      <c r="C87" s="303" t="s">
        <v>79</v>
      </c>
      <c r="D87" s="46" t="s">
        <v>78</v>
      </c>
      <c r="E87" s="46" t="s">
        <v>1886</v>
      </c>
      <c r="F87" s="46" t="s">
        <v>110</v>
      </c>
      <c r="G87" s="18" t="s">
        <v>108</v>
      </c>
      <c r="H87" s="18" t="s">
        <v>111</v>
      </c>
      <c r="I87" s="32">
        <v>360.75</v>
      </c>
      <c r="J87" s="15">
        <f t="shared" si="4"/>
        <v>360.75</v>
      </c>
      <c r="K87" s="15">
        <v>285</v>
      </c>
      <c r="L87" s="18" t="s">
        <v>572</v>
      </c>
      <c r="M87" s="15" t="s">
        <v>269</v>
      </c>
      <c r="N87" s="15" t="s">
        <v>363</v>
      </c>
      <c r="O87" s="15" t="s">
        <v>364</v>
      </c>
    </row>
    <row r="88" spans="2:15">
      <c r="B88"/>
      <c r="C88" s="303" t="s">
        <v>79</v>
      </c>
      <c r="D88" s="44" t="s">
        <v>78</v>
      </c>
      <c r="E88" s="46" t="s">
        <v>1886</v>
      </c>
      <c r="F88" s="46" t="s">
        <v>249</v>
      </c>
      <c r="G88" s="15" t="s">
        <v>103</v>
      </c>
      <c r="H88" s="18" t="s">
        <v>104</v>
      </c>
      <c r="I88" s="15">
        <v>3.7</v>
      </c>
      <c r="J88" s="15">
        <f t="shared" ref="J88:J119" si="5">I88</f>
        <v>3.7</v>
      </c>
      <c r="L88" s="18" t="s">
        <v>572</v>
      </c>
      <c r="M88" s="15" t="s">
        <v>269</v>
      </c>
      <c r="N88" s="15" t="s">
        <v>269</v>
      </c>
      <c r="O88" s="15" t="s">
        <v>282</v>
      </c>
    </row>
    <row r="89" spans="2:15">
      <c r="B89"/>
      <c r="C89" s="303" t="s">
        <v>79</v>
      </c>
      <c r="D89" s="44" t="s">
        <v>78</v>
      </c>
      <c r="E89" s="46" t="s">
        <v>1886</v>
      </c>
      <c r="F89" s="46" t="s">
        <v>249</v>
      </c>
      <c r="G89" s="15" t="s">
        <v>103</v>
      </c>
      <c r="H89" s="18" t="s">
        <v>105</v>
      </c>
      <c r="I89" s="15">
        <v>8.73</v>
      </c>
      <c r="J89" s="15">
        <f t="shared" si="5"/>
        <v>8.73</v>
      </c>
      <c r="L89" s="18" t="s">
        <v>572</v>
      </c>
      <c r="M89" s="15" t="s">
        <v>269</v>
      </c>
      <c r="N89" s="15" t="s">
        <v>269</v>
      </c>
      <c r="O89" s="15" t="s">
        <v>282</v>
      </c>
    </row>
    <row r="90" spans="2:15">
      <c r="B90"/>
      <c r="C90" s="303" t="s">
        <v>79</v>
      </c>
      <c r="D90" s="46" t="s">
        <v>78</v>
      </c>
      <c r="E90" s="46" t="s">
        <v>1886</v>
      </c>
      <c r="F90" s="46" t="s">
        <v>248</v>
      </c>
      <c r="G90" s="18" t="s">
        <v>82</v>
      </c>
      <c r="H90" s="18" t="s">
        <v>83</v>
      </c>
      <c r="I90" s="15">
        <v>46.5</v>
      </c>
      <c r="J90" s="15">
        <f t="shared" si="5"/>
        <v>46.5</v>
      </c>
      <c r="K90" s="15">
        <v>30</v>
      </c>
      <c r="L90" s="18" t="s">
        <v>572</v>
      </c>
      <c r="M90" s="15" t="s">
        <v>269</v>
      </c>
      <c r="N90" s="15" t="s">
        <v>269</v>
      </c>
      <c r="O90" s="15" t="s">
        <v>282</v>
      </c>
    </row>
    <row r="91" spans="2:15">
      <c r="B91"/>
      <c r="C91" s="303" t="s">
        <v>79</v>
      </c>
      <c r="D91" s="46" t="s">
        <v>78</v>
      </c>
      <c r="E91" s="46" t="s">
        <v>1886</v>
      </c>
      <c r="F91" s="46" t="s">
        <v>248</v>
      </c>
      <c r="G91" s="18" t="s">
        <v>85</v>
      </c>
      <c r="H91" s="18" t="s">
        <v>84</v>
      </c>
      <c r="I91" s="15">
        <v>47.1</v>
      </c>
      <c r="J91" s="15">
        <f t="shared" si="5"/>
        <v>47.1</v>
      </c>
      <c r="K91" s="15">
        <v>30</v>
      </c>
      <c r="L91" s="18" t="s">
        <v>572</v>
      </c>
      <c r="M91" s="15" t="s">
        <v>269</v>
      </c>
      <c r="N91" s="15" t="s">
        <v>573</v>
      </c>
      <c r="O91" s="15" t="s">
        <v>100</v>
      </c>
    </row>
    <row r="92" spans="2:15">
      <c r="B92"/>
      <c r="C92" s="303" t="s">
        <v>79</v>
      </c>
      <c r="D92" s="46" t="s">
        <v>78</v>
      </c>
      <c r="E92" s="46" t="s">
        <v>1886</v>
      </c>
      <c r="F92" s="46" t="s">
        <v>248</v>
      </c>
      <c r="G92" s="18" t="s">
        <v>92</v>
      </c>
      <c r="H92" s="18" t="s">
        <v>7</v>
      </c>
      <c r="I92" s="15">
        <v>48.9</v>
      </c>
      <c r="J92" s="15">
        <f t="shared" si="5"/>
        <v>48.9</v>
      </c>
      <c r="K92" s="15">
        <v>30</v>
      </c>
      <c r="L92" s="18" t="s">
        <v>572</v>
      </c>
      <c r="M92" s="15" t="s">
        <v>269</v>
      </c>
      <c r="N92" s="15" t="s">
        <v>269</v>
      </c>
      <c r="O92" s="15" t="s">
        <v>282</v>
      </c>
    </row>
    <row r="93" spans="2:15">
      <c r="B93"/>
      <c r="C93" s="303" t="s">
        <v>79</v>
      </c>
      <c r="D93" s="46" t="s">
        <v>78</v>
      </c>
      <c r="E93" s="46" t="s">
        <v>1886</v>
      </c>
      <c r="F93" s="46" t="s">
        <v>248</v>
      </c>
      <c r="G93" s="18" t="s">
        <v>92</v>
      </c>
      <c r="H93" s="18" t="s">
        <v>8</v>
      </c>
      <c r="I93" s="15">
        <v>48</v>
      </c>
      <c r="J93" s="15">
        <f t="shared" si="5"/>
        <v>48</v>
      </c>
      <c r="K93" s="15">
        <v>30</v>
      </c>
      <c r="L93" s="18" t="s">
        <v>572</v>
      </c>
      <c r="M93" s="15" t="s">
        <v>269</v>
      </c>
      <c r="N93" s="15" t="s">
        <v>269</v>
      </c>
      <c r="O93" s="15" t="s">
        <v>282</v>
      </c>
    </row>
    <row r="94" spans="2:15">
      <c r="B94"/>
      <c r="C94" s="303" t="s">
        <v>79</v>
      </c>
      <c r="D94" s="46" t="s">
        <v>78</v>
      </c>
      <c r="E94" s="46" t="s">
        <v>1886</v>
      </c>
      <c r="F94" s="46" t="s">
        <v>248</v>
      </c>
      <c r="G94" s="18" t="s">
        <v>92</v>
      </c>
      <c r="H94" s="18" t="s">
        <v>10</v>
      </c>
      <c r="I94" s="15">
        <v>54</v>
      </c>
      <c r="J94" s="15">
        <f t="shared" si="5"/>
        <v>54</v>
      </c>
      <c r="K94" s="15">
        <v>35</v>
      </c>
      <c r="L94" s="18" t="s">
        <v>572</v>
      </c>
      <c r="M94" s="15" t="s">
        <v>269</v>
      </c>
      <c r="N94" s="15" t="s">
        <v>269</v>
      </c>
      <c r="O94" s="15" t="s">
        <v>282</v>
      </c>
    </row>
    <row r="95" spans="2:15">
      <c r="B95"/>
      <c r="C95" s="303" t="s">
        <v>79</v>
      </c>
      <c r="D95" s="46" t="s">
        <v>78</v>
      </c>
      <c r="E95" s="46" t="s">
        <v>1886</v>
      </c>
      <c r="F95" s="46" t="s">
        <v>248</v>
      </c>
      <c r="G95" s="18" t="s">
        <v>92</v>
      </c>
      <c r="H95" s="18" t="s">
        <v>11</v>
      </c>
      <c r="I95" s="15">
        <v>52.2</v>
      </c>
      <c r="J95" s="15">
        <f t="shared" si="5"/>
        <v>52.2</v>
      </c>
      <c r="K95" s="15">
        <v>35</v>
      </c>
      <c r="L95" s="18" t="s">
        <v>572</v>
      </c>
      <c r="M95" s="15" t="s">
        <v>269</v>
      </c>
      <c r="N95" s="15" t="s">
        <v>269</v>
      </c>
      <c r="O95" s="15" t="s">
        <v>282</v>
      </c>
    </row>
    <row r="96" spans="2:15">
      <c r="B96"/>
      <c r="C96" s="303" t="s">
        <v>79</v>
      </c>
      <c r="D96" s="46" t="s">
        <v>78</v>
      </c>
      <c r="E96" s="46" t="s">
        <v>1886</v>
      </c>
      <c r="F96" s="46" t="s">
        <v>248</v>
      </c>
      <c r="G96" s="18" t="s">
        <v>92</v>
      </c>
      <c r="H96" s="18" t="s">
        <v>9</v>
      </c>
      <c r="I96" s="15">
        <v>46.2</v>
      </c>
      <c r="J96" s="15">
        <f t="shared" si="5"/>
        <v>46.2</v>
      </c>
      <c r="K96" s="15">
        <v>30</v>
      </c>
      <c r="L96" s="18" t="s">
        <v>572</v>
      </c>
      <c r="M96" s="15" t="s">
        <v>269</v>
      </c>
      <c r="N96" s="15" t="s">
        <v>269</v>
      </c>
      <c r="O96" s="15" t="s">
        <v>282</v>
      </c>
    </row>
    <row r="97" spans="2:15">
      <c r="B97"/>
      <c r="C97" s="303" t="s">
        <v>79</v>
      </c>
      <c r="D97" s="46" t="s">
        <v>78</v>
      </c>
      <c r="E97" s="46" t="s">
        <v>1886</v>
      </c>
      <c r="F97" s="46" t="s">
        <v>248</v>
      </c>
      <c r="G97" s="18" t="s">
        <v>86</v>
      </c>
      <c r="H97" s="18" t="s">
        <v>87</v>
      </c>
      <c r="I97" s="15">
        <v>17.7</v>
      </c>
      <c r="J97" s="15">
        <f t="shared" si="5"/>
        <v>17.7</v>
      </c>
      <c r="K97" s="15">
        <v>12</v>
      </c>
      <c r="L97" s="18" t="s">
        <v>572</v>
      </c>
      <c r="M97" s="15" t="s">
        <v>269</v>
      </c>
      <c r="N97" s="15" t="s">
        <v>269</v>
      </c>
      <c r="O97" s="15" t="s">
        <v>282</v>
      </c>
    </row>
    <row r="98" spans="2:15">
      <c r="B98"/>
      <c r="C98" s="303" t="s">
        <v>79</v>
      </c>
      <c r="D98" s="46" t="s">
        <v>78</v>
      </c>
      <c r="E98" s="46" t="s">
        <v>1886</v>
      </c>
      <c r="F98" s="46" t="s">
        <v>248</v>
      </c>
      <c r="G98" s="18" t="s">
        <v>90</v>
      </c>
      <c r="H98" s="18" t="s">
        <v>88</v>
      </c>
      <c r="I98" s="15">
        <v>17.7</v>
      </c>
      <c r="J98" s="15">
        <f t="shared" si="5"/>
        <v>17.7</v>
      </c>
      <c r="K98" s="15">
        <v>12</v>
      </c>
      <c r="L98" s="18" t="s">
        <v>572</v>
      </c>
      <c r="M98" s="15" t="s">
        <v>269</v>
      </c>
      <c r="N98" s="15" t="s">
        <v>269</v>
      </c>
      <c r="O98" s="15" t="s">
        <v>282</v>
      </c>
    </row>
    <row r="99" spans="2:15">
      <c r="B99"/>
      <c r="C99" s="303" t="s">
        <v>79</v>
      </c>
      <c r="D99" s="46" t="s">
        <v>78</v>
      </c>
      <c r="E99" s="46" t="s">
        <v>1886</v>
      </c>
      <c r="F99" s="46" t="s">
        <v>248</v>
      </c>
      <c r="G99" s="18" t="s">
        <v>91</v>
      </c>
      <c r="H99" s="18" t="s">
        <v>89</v>
      </c>
      <c r="I99" s="15">
        <v>20.100000000000001</v>
      </c>
      <c r="J99" s="15">
        <f t="shared" si="5"/>
        <v>20.100000000000001</v>
      </c>
      <c r="K99" s="15">
        <v>12</v>
      </c>
      <c r="L99" s="18" t="s">
        <v>572</v>
      </c>
      <c r="M99" s="15" t="s">
        <v>269</v>
      </c>
      <c r="N99" s="15" t="s">
        <v>269</v>
      </c>
      <c r="O99" s="15" t="s">
        <v>282</v>
      </c>
    </row>
    <row r="100" spans="2:15">
      <c r="B100"/>
      <c r="C100" s="303" t="s">
        <v>79</v>
      </c>
      <c r="D100" s="44" t="s">
        <v>78</v>
      </c>
      <c r="E100" s="44"/>
      <c r="F100" s="44" t="s">
        <v>355</v>
      </c>
      <c r="G100" s="15" t="s">
        <v>106</v>
      </c>
      <c r="H100" s="18" t="s">
        <v>107</v>
      </c>
      <c r="I100" s="15">
        <v>3.28</v>
      </c>
      <c r="J100" s="15">
        <f t="shared" si="5"/>
        <v>3.28</v>
      </c>
      <c r="L100" s="18" t="s">
        <v>572</v>
      </c>
      <c r="M100" s="15" t="s">
        <v>269</v>
      </c>
      <c r="N100" s="15" t="s">
        <v>269</v>
      </c>
      <c r="O100" s="15" t="s">
        <v>282</v>
      </c>
    </row>
    <row r="101" spans="2:15">
      <c r="B101"/>
      <c r="C101" s="303" t="s">
        <v>79</v>
      </c>
      <c r="D101" s="44" t="s">
        <v>78</v>
      </c>
      <c r="E101" s="46" t="s">
        <v>1886</v>
      </c>
      <c r="F101" s="44" t="s">
        <v>596</v>
      </c>
      <c r="G101" s="34" t="s">
        <v>145</v>
      </c>
      <c r="H101" s="13" t="s">
        <v>146</v>
      </c>
      <c r="I101" s="13">
        <v>27.24</v>
      </c>
      <c r="J101" s="15">
        <f t="shared" si="5"/>
        <v>27.24</v>
      </c>
      <c r="K101" s="15">
        <v>12</v>
      </c>
      <c r="L101" s="18" t="s">
        <v>572</v>
      </c>
      <c r="M101" s="15" t="s">
        <v>269</v>
      </c>
      <c r="N101" s="15" t="s">
        <v>269</v>
      </c>
      <c r="O101" s="15" t="s">
        <v>282</v>
      </c>
    </row>
    <row r="102" spans="2:15">
      <c r="B102"/>
      <c r="C102" s="303" t="s">
        <v>79</v>
      </c>
      <c r="D102" s="44" t="s">
        <v>78</v>
      </c>
      <c r="E102" s="46" t="s">
        <v>1886</v>
      </c>
      <c r="F102" s="44" t="s">
        <v>596</v>
      </c>
      <c r="G102" s="34" t="s">
        <v>147</v>
      </c>
      <c r="H102" s="13" t="s">
        <v>104</v>
      </c>
      <c r="I102" s="13">
        <v>18.57</v>
      </c>
      <c r="J102" s="15">
        <f t="shared" si="5"/>
        <v>18.57</v>
      </c>
      <c r="K102" s="15">
        <v>12</v>
      </c>
      <c r="L102" s="18" t="s">
        <v>572</v>
      </c>
      <c r="M102" s="15" t="s">
        <v>269</v>
      </c>
      <c r="N102" s="15" t="s">
        <v>269</v>
      </c>
      <c r="O102" s="15" t="s">
        <v>282</v>
      </c>
    </row>
    <row r="103" spans="2:15">
      <c r="B103"/>
      <c r="C103" s="303" t="s">
        <v>79</v>
      </c>
      <c r="D103" s="44" t="s">
        <v>78</v>
      </c>
      <c r="E103" s="46" t="s">
        <v>1886</v>
      </c>
      <c r="F103" s="44" t="s">
        <v>596</v>
      </c>
      <c r="G103" s="34" t="s">
        <v>148</v>
      </c>
      <c r="H103" s="13" t="s">
        <v>149</v>
      </c>
      <c r="I103" s="32">
        <v>5.57</v>
      </c>
      <c r="J103" s="15">
        <f t="shared" si="5"/>
        <v>5.57</v>
      </c>
      <c r="K103" s="15">
        <v>3</v>
      </c>
      <c r="L103" s="18" t="s">
        <v>572</v>
      </c>
      <c r="M103" s="15" t="s">
        <v>269</v>
      </c>
      <c r="N103" s="15" t="s">
        <v>269</v>
      </c>
      <c r="O103" s="15" t="s">
        <v>282</v>
      </c>
    </row>
    <row r="104" spans="2:15">
      <c r="B104"/>
      <c r="C104" s="303" t="s">
        <v>79</v>
      </c>
      <c r="D104" s="44" t="s">
        <v>78</v>
      </c>
      <c r="E104" s="46" t="s">
        <v>1886</v>
      </c>
      <c r="F104" s="44" t="s">
        <v>596</v>
      </c>
      <c r="G104" s="34" t="s">
        <v>150</v>
      </c>
      <c r="H104" s="13" t="s">
        <v>151</v>
      </c>
      <c r="I104" s="32">
        <v>9.66</v>
      </c>
      <c r="J104" s="15">
        <f t="shared" si="5"/>
        <v>9.66</v>
      </c>
      <c r="K104" s="15">
        <v>3</v>
      </c>
      <c r="L104" s="18" t="s">
        <v>572</v>
      </c>
      <c r="M104" s="15" t="s">
        <v>269</v>
      </c>
      <c r="N104" s="15" t="s">
        <v>269</v>
      </c>
      <c r="O104" s="15" t="s">
        <v>282</v>
      </c>
    </row>
    <row r="105" spans="2:15">
      <c r="B105"/>
      <c r="C105" s="303" t="s">
        <v>79</v>
      </c>
      <c r="D105" s="44" t="s">
        <v>78</v>
      </c>
      <c r="E105" s="46" t="s">
        <v>1886</v>
      </c>
      <c r="F105" s="44" t="s">
        <v>596</v>
      </c>
      <c r="G105" s="34" t="s">
        <v>152</v>
      </c>
      <c r="H105" s="13" t="s">
        <v>153</v>
      </c>
      <c r="I105" s="32">
        <v>122.82</v>
      </c>
      <c r="J105" s="15">
        <f t="shared" si="5"/>
        <v>122.82</v>
      </c>
      <c r="K105" s="15">
        <v>48</v>
      </c>
      <c r="L105" s="18" t="s">
        <v>572</v>
      </c>
      <c r="M105" s="32" t="s">
        <v>275</v>
      </c>
      <c r="N105" s="32" t="s">
        <v>573</v>
      </c>
      <c r="O105" s="32" t="s">
        <v>100</v>
      </c>
    </row>
    <row r="106" spans="2:15">
      <c r="B106"/>
      <c r="C106" s="303" t="s">
        <v>79</v>
      </c>
      <c r="D106" s="44" t="s">
        <v>78</v>
      </c>
      <c r="E106" s="46" t="s">
        <v>1886</v>
      </c>
      <c r="F106" s="44" t="s">
        <v>596</v>
      </c>
      <c r="G106" s="34" t="s">
        <v>154</v>
      </c>
      <c r="H106" s="13" t="s">
        <v>155</v>
      </c>
      <c r="I106" s="32">
        <v>127.4</v>
      </c>
      <c r="J106" s="15">
        <f t="shared" si="5"/>
        <v>127.4</v>
      </c>
      <c r="K106" s="15">
        <v>48</v>
      </c>
      <c r="L106" s="18" t="s">
        <v>572</v>
      </c>
      <c r="M106" s="32" t="s">
        <v>275</v>
      </c>
      <c r="N106" s="32" t="s">
        <v>573</v>
      </c>
      <c r="O106" s="32" t="s">
        <v>100</v>
      </c>
    </row>
    <row r="107" spans="2:15">
      <c r="B107"/>
      <c r="C107" s="303" t="s">
        <v>79</v>
      </c>
      <c r="D107" s="44" t="s">
        <v>78</v>
      </c>
      <c r="E107" s="46" t="s">
        <v>1886</v>
      </c>
      <c r="F107" s="44" t="s">
        <v>596</v>
      </c>
      <c r="G107" s="34" t="s">
        <v>156</v>
      </c>
      <c r="H107" s="13" t="s">
        <v>157</v>
      </c>
      <c r="I107" s="13">
        <v>183.25</v>
      </c>
      <c r="J107" s="15">
        <f t="shared" si="5"/>
        <v>183.25</v>
      </c>
      <c r="K107" s="15">
        <v>96</v>
      </c>
      <c r="L107" s="18" t="s">
        <v>572</v>
      </c>
      <c r="M107" s="32" t="s">
        <v>275</v>
      </c>
      <c r="N107" s="32" t="s">
        <v>573</v>
      </c>
      <c r="O107" s="32" t="s">
        <v>100</v>
      </c>
    </row>
    <row r="108" spans="2:15">
      <c r="B108"/>
      <c r="C108" s="303" t="s">
        <v>79</v>
      </c>
      <c r="D108" s="44" t="s">
        <v>78</v>
      </c>
      <c r="E108" s="46" t="s">
        <v>1886</v>
      </c>
      <c r="F108" s="44" t="s">
        <v>596</v>
      </c>
      <c r="G108" s="27" t="s">
        <v>158</v>
      </c>
      <c r="H108" s="18" t="s">
        <v>159</v>
      </c>
      <c r="I108" s="15">
        <v>11.4</v>
      </c>
      <c r="J108" s="15">
        <f t="shared" si="5"/>
        <v>11.4</v>
      </c>
      <c r="K108" s="15">
        <v>2</v>
      </c>
      <c r="L108" s="18" t="s">
        <v>572</v>
      </c>
      <c r="M108" s="15" t="s">
        <v>275</v>
      </c>
      <c r="N108" s="15" t="s">
        <v>269</v>
      </c>
      <c r="O108" s="15" t="s">
        <v>100</v>
      </c>
    </row>
    <row r="109" spans="2:15" ht="30">
      <c r="B109"/>
      <c r="C109" s="303" t="s">
        <v>79</v>
      </c>
      <c r="D109" s="46" t="s">
        <v>78</v>
      </c>
      <c r="E109" s="46" t="s">
        <v>1886</v>
      </c>
      <c r="F109" s="44" t="s">
        <v>596</v>
      </c>
      <c r="G109" s="27" t="s">
        <v>134</v>
      </c>
      <c r="H109" s="18" t="s">
        <v>135</v>
      </c>
      <c r="I109" s="15">
        <v>34.020000000000003</v>
      </c>
      <c r="J109" s="15">
        <f t="shared" si="5"/>
        <v>34.020000000000003</v>
      </c>
      <c r="K109" s="15">
        <v>5</v>
      </c>
      <c r="L109" s="18" t="s">
        <v>572</v>
      </c>
      <c r="M109" s="15" t="s">
        <v>275</v>
      </c>
      <c r="N109" s="15" t="s">
        <v>573</v>
      </c>
      <c r="O109" s="15" t="s">
        <v>100</v>
      </c>
    </row>
    <row r="110" spans="2:15">
      <c r="B110"/>
      <c r="C110" s="303" t="s">
        <v>79</v>
      </c>
      <c r="D110" s="46" t="s">
        <v>78</v>
      </c>
      <c r="E110" s="46" t="s">
        <v>1886</v>
      </c>
      <c r="F110" s="44" t="s">
        <v>596</v>
      </c>
      <c r="G110" s="18" t="s">
        <v>136</v>
      </c>
      <c r="H110" s="18" t="s">
        <v>137</v>
      </c>
      <c r="I110" s="15">
        <v>12.39</v>
      </c>
      <c r="J110" s="15">
        <f t="shared" si="5"/>
        <v>12.39</v>
      </c>
      <c r="K110" s="15">
        <v>2</v>
      </c>
      <c r="L110" s="18" t="s">
        <v>572</v>
      </c>
      <c r="M110" s="15" t="s">
        <v>275</v>
      </c>
      <c r="N110" s="15" t="s">
        <v>269</v>
      </c>
      <c r="O110" s="15" t="s">
        <v>100</v>
      </c>
    </row>
    <row r="111" spans="2:15">
      <c r="B111"/>
      <c r="C111" s="303" t="s">
        <v>79</v>
      </c>
      <c r="D111" s="46" t="s">
        <v>78</v>
      </c>
      <c r="E111" s="46" t="s">
        <v>1886</v>
      </c>
      <c r="F111" s="44" t="s">
        <v>596</v>
      </c>
      <c r="G111" s="18" t="s">
        <v>138</v>
      </c>
      <c r="H111" s="18" t="s">
        <v>139</v>
      </c>
      <c r="I111" s="15">
        <v>25.2</v>
      </c>
      <c r="J111" s="15">
        <f t="shared" si="5"/>
        <v>25.2</v>
      </c>
      <c r="K111" s="15">
        <v>5</v>
      </c>
      <c r="L111" s="18" t="s">
        <v>572</v>
      </c>
      <c r="M111" s="15" t="s">
        <v>275</v>
      </c>
      <c r="N111" s="15" t="s">
        <v>269</v>
      </c>
      <c r="O111" s="15" t="s">
        <v>100</v>
      </c>
    </row>
    <row r="112" spans="2:15">
      <c r="B112"/>
      <c r="C112" s="303" t="s">
        <v>79</v>
      </c>
      <c r="D112" s="46" t="s">
        <v>78</v>
      </c>
      <c r="E112" s="46" t="s">
        <v>1886</v>
      </c>
      <c r="F112" s="44" t="s">
        <v>596</v>
      </c>
      <c r="G112" s="18" t="s">
        <v>140</v>
      </c>
      <c r="H112" s="18" t="s">
        <v>141</v>
      </c>
      <c r="I112" s="15">
        <v>17.350000000000001</v>
      </c>
      <c r="J112" s="15">
        <f t="shared" si="5"/>
        <v>17.350000000000001</v>
      </c>
      <c r="K112" s="15">
        <v>2</v>
      </c>
      <c r="L112" s="18" t="s">
        <v>572</v>
      </c>
      <c r="M112" s="15" t="s">
        <v>275</v>
      </c>
      <c r="N112" s="15" t="s">
        <v>269</v>
      </c>
      <c r="O112" s="15" t="s">
        <v>100</v>
      </c>
    </row>
    <row r="113" spans="1:17" ht="45">
      <c r="B113"/>
      <c r="C113" s="303" t="s">
        <v>79</v>
      </c>
      <c r="D113" s="46" t="s">
        <v>78</v>
      </c>
      <c r="E113" s="46" t="s">
        <v>1886</v>
      </c>
      <c r="F113" s="44" t="s">
        <v>596</v>
      </c>
      <c r="G113" s="27" t="s">
        <v>142</v>
      </c>
      <c r="H113" s="18" t="s">
        <v>143</v>
      </c>
      <c r="I113" s="15">
        <v>76.8</v>
      </c>
      <c r="J113" s="15">
        <f t="shared" si="5"/>
        <v>76.8</v>
      </c>
      <c r="K113" s="15">
        <v>20</v>
      </c>
      <c r="L113" s="18" t="s">
        <v>572</v>
      </c>
      <c r="M113" s="15" t="s">
        <v>275</v>
      </c>
      <c r="N113" s="15" t="s">
        <v>573</v>
      </c>
      <c r="O113" s="15" t="s">
        <v>100</v>
      </c>
    </row>
    <row r="114" spans="1:17">
      <c r="B114"/>
      <c r="C114" s="303" t="s">
        <v>79</v>
      </c>
      <c r="D114" s="44" t="s">
        <v>78</v>
      </c>
      <c r="E114" s="44"/>
      <c r="F114" s="44" t="s">
        <v>192</v>
      </c>
      <c r="G114" s="15" t="s">
        <v>172</v>
      </c>
      <c r="H114" s="18" t="s">
        <v>186</v>
      </c>
      <c r="I114" s="15">
        <v>23.3</v>
      </c>
      <c r="J114" s="15">
        <f t="shared" si="5"/>
        <v>23.3</v>
      </c>
      <c r="L114" s="18" t="s">
        <v>572</v>
      </c>
      <c r="M114" s="32" t="s">
        <v>275</v>
      </c>
      <c r="N114" s="32" t="s">
        <v>269</v>
      </c>
      <c r="O114" s="35" t="s">
        <v>100</v>
      </c>
    </row>
    <row r="115" spans="1:17">
      <c r="B115"/>
      <c r="C115" s="303" t="s">
        <v>79</v>
      </c>
      <c r="D115" s="44" t="s">
        <v>78</v>
      </c>
      <c r="E115" s="44"/>
      <c r="F115" s="44" t="s">
        <v>192</v>
      </c>
      <c r="G115" s="15" t="s">
        <v>173</v>
      </c>
      <c r="H115" s="18" t="s">
        <v>187</v>
      </c>
      <c r="I115" s="15">
        <v>27.68</v>
      </c>
      <c r="J115" s="15">
        <f t="shared" si="5"/>
        <v>27.68</v>
      </c>
      <c r="L115" s="18" t="s">
        <v>572</v>
      </c>
      <c r="M115" s="32" t="s">
        <v>275</v>
      </c>
      <c r="N115" s="32" t="s">
        <v>269</v>
      </c>
      <c r="O115" s="35" t="s">
        <v>100</v>
      </c>
    </row>
    <row r="116" spans="1:17">
      <c r="B116"/>
      <c r="C116" s="303" t="s">
        <v>79</v>
      </c>
      <c r="D116" s="44" t="s">
        <v>78</v>
      </c>
      <c r="E116" s="44"/>
      <c r="F116" s="44" t="s">
        <v>192</v>
      </c>
      <c r="G116" s="15" t="s">
        <v>178</v>
      </c>
      <c r="H116" s="18" t="s">
        <v>188</v>
      </c>
      <c r="I116" s="15">
        <v>2.7</v>
      </c>
      <c r="J116" s="15">
        <f t="shared" si="5"/>
        <v>2.7</v>
      </c>
      <c r="L116" s="18" t="s">
        <v>572</v>
      </c>
      <c r="M116" s="32" t="s">
        <v>275</v>
      </c>
      <c r="N116" s="32" t="s">
        <v>269</v>
      </c>
      <c r="O116" s="35" t="s">
        <v>100</v>
      </c>
    </row>
    <row r="117" spans="1:17">
      <c r="A117" s="2">
        <f>SUM(I4:I52,I54:I117)</f>
        <v>4551.5199999999995</v>
      </c>
      <c r="B117"/>
      <c r="C117" s="303" t="s">
        <v>79</v>
      </c>
      <c r="D117" s="44" t="s">
        <v>78</v>
      </c>
      <c r="E117" s="44"/>
      <c r="F117" s="44" t="s">
        <v>192</v>
      </c>
      <c r="G117" s="15" t="s">
        <v>176</v>
      </c>
      <c r="H117" s="18" t="s">
        <v>189</v>
      </c>
      <c r="I117" s="15">
        <v>2.7</v>
      </c>
      <c r="J117" s="15">
        <f t="shared" si="5"/>
        <v>2.7</v>
      </c>
      <c r="L117" s="18" t="s">
        <v>572</v>
      </c>
      <c r="M117" s="32" t="s">
        <v>275</v>
      </c>
      <c r="N117" s="32" t="s">
        <v>269</v>
      </c>
      <c r="O117" s="35" t="s">
        <v>100</v>
      </c>
    </row>
    <row r="118" spans="1:17">
      <c r="A118" s="5"/>
      <c r="B118"/>
      <c r="C118" s="21" t="s">
        <v>2</v>
      </c>
      <c r="D118" s="44" t="s">
        <v>77</v>
      </c>
      <c r="E118" s="46" t="s">
        <v>1886</v>
      </c>
      <c r="F118" s="46" t="s">
        <v>175</v>
      </c>
      <c r="G118" s="18" t="s">
        <v>18</v>
      </c>
      <c r="H118" s="18" t="s">
        <v>674</v>
      </c>
      <c r="I118" s="15">
        <v>16.100000000000001</v>
      </c>
      <c r="J118" s="15">
        <f t="shared" si="5"/>
        <v>16.100000000000001</v>
      </c>
      <c r="K118" s="15">
        <v>3</v>
      </c>
      <c r="L118" s="15" t="s">
        <v>268</v>
      </c>
      <c r="M118" s="15" t="s">
        <v>583</v>
      </c>
      <c r="N118" s="15" t="s">
        <v>584</v>
      </c>
      <c r="O118" s="36" t="s">
        <v>585</v>
      </c>
    </row>
    <row r="119" spans="1:17">
      <c r="B119"/>
      <c r="C119" s="21" t="s">
        <v>2</v>
      </c>
      <c r="D119" s="44" t="s">
        <v>77</v>
      </c>
      <c r="E119" s="46" t="s">
        <v>1886</v>
      </c>
      <c r="F119" s="46" t="s">
        <v>598</v>
      </c>
      <c r="G119" s="18" t="s">
        <v>19</v>
      </c>
      <c r="H119" s="18" t="s">
        <v>681</v>
      </c>
      <c r="I119" s="15">
        <v>11.7</v>
      </c>
      <c r="J119" s="15">
        <f t="shared" si="5"/>
        <v>11.7</v>
      </c>
      <c r="K119" s="15">
        <v>2</v>
      </c>
      <c r="L119" s="15" t="s">
        <v>268</v>
      </c>
      <c r="M119" s="15" t="s">
        <v>267</v>
      </c>
      <c r="N119" s="15" t="s">
        <v>269</v>
      </c>
      <c r="O119" s="15" t="s">
        <v>100</v>
      </c>
      <c r="Q119" s="2">
        <f>SUM(I119:I134)</f>
        <v>187.49</v>
      </c>
    </row>
    <row r="120" spans="1:17">
      <c r="B120"/>
      <c r="C120" s="21" t="s">
        <v>2</v>
      </c>
      <c r="D120" s="44" t="s">
        <v>77</v>
      </c>
      <c r="E120" s="46" t="s">
        <v>1886</v>
      </c>
      <c r="F120" s="46" t="s">
        <v>598</v>
      </c>
      <c r="G120" s="18" t="s">
        <v>20</v>
      </c>
      <c r="H120" s="18" t="s">
        <v>682</v>
      </c>
      <c r="I120" s="15">
        <v>7.63</v>
      </c>
      <c r="J120" s="15">
        <f>I120</f>
        <v>7.63</v>
      </c>
      <c r="K120" s="15">
        <v>1</v>
      </c>
      <c r="L120" s="15" t="s">
        <v>268</v>
      </c>
      <c r="M120" s="15" t="s">
        <v>267</v>
      </c>
      <c r="N120" s="15" t="s">
        <v>269</v>
      </c>
      <c r="O120" s="15" t="s">
        <v>100</v>
      </c>
    </row>
    <row r="121" spans="1:17">
      <c r="B121"/>
      <c r="C121" s="21" t="s">
        <v>2</v>
      </c>
      <c r="D121" s="44" t="s">
        <v>77</v>
      </c>
      <c r="E121" s="46" t="s">
        <v>1886</v>
      </c>
      <c r="F121" s="46" t="s">
        <v>598</v>
      </c>
      <c r="G121" s="18" t="s">
        <v>21</v>
      </c>
      <c r="H121" s="18" t="s">
        <v>683</v>
      </c>
      <c r="I121" s="15">
        <v>15.76</v>
      </c>
      <c r="J121" s="15">
        <f t="shared" ref="J121:J132" si="6">I121</f>
        <v>15.76</v>
      </c>
      <c r="K121" s="15">
        <v>2</v>
      </c>
      <c r="L121" s="15" t="s">
        <v>268</v>
      </c>
      <c r="M121" s="15" t="s">
        <v>267</v>
      </c>
      <c r="N121" s="15" t="s">
        <v>269</v>
      </c>
      <c r="O121" s="15" t="s">
        <v>100</v>
      </c>
    </row>
    <row r="122" spans="1:17">
      <c r="B122"/>
      <c r="C122" s="21" t="s">
        <v>2</v>
      </c>
      <c r="D122" s="44" t="s">
        <v>77</v>
      </c>
      <c r="E122" s="46" t="s">
        <v>1886</v>
      </c>
      <c r="F122" s="46" t="s">
        <v>598</v>
      </c>
      <c r="G122" s="18" t="s">
        <v>22</v>
      </c>
      <c r="H122" s="18" t="s">
        <v>686</v>
      </c>
      <c r="I122" s="15">
        <v>7.63</v>
      </c>
      <c r="J122" s="15">
        <f t="shared" si="6"/>
        <v>7.63</v>
      </c>
      <c r="K122" s="15">
        <v>1</v>
      </c>
      <c r="L122" s="15" t="s">
        <v>268</v>
      </c>
      <c r="M122" s="15" t="s">
        <v>267</v>
      </c>
      <c r="N122" s="15" t="s">
        <v>269</v>
      </c>
      <c r="O122" s="15" t="s">
        <v>100</v>
      </c>
    </row>
    <row r="123" spans="1:17">
      <c r="B123"/>
      <c r="C123" s="21" t="s">
        <v>2</v>
      </c>
      <c r="D123" s="44" t="s">
        <v>77</v>
      </c>
      <c r="E123" s="46" t="s">
        <v>1886</v>
      </c>
      <c r="F123" s="46" t="s">
        <v>598</v>
      </c>
      <c r="G123" s="18" t="s">
        <v>23</v>
      </c>
      <c r="H123" s="18" t="s">
        <v>687</v>
      </c>
      <c r="I123" s="15">
        <v>11.7</v>
      </c>
      <c r="J123" s="15">
        <f t="shared" si="6"/>
        <v>11.7</v>
      </c>
      <c r="K123" s="15">
        <v>1</v>
      </c>
      <c r="L123" s="15" t="s">
        <v>268</v>
      </c>
      <c r="M123" s="15" t="s">
        <v>275</v>
      </c>
      <c r="N123" s="15" t="s">
        <v>269</v>
      </c>
    </row>
    <row r="124" spans="1:17">
      <c r="B124"/>
      <c r="C124" s="21" t="s">
        <v>2</v>
      </c>
      <c r="D124" s="44" t="s">
        <v>77</v>
      </c>
      <c r="E124" s="46" t="s">
        <v>1886</v>
      </c>
      <c r="F124" s="46" t="s">
        <v>598</v>
      </c>
      <c r="G124" s="18" t="s">
        <v>24</v>
      </c>
      <c r="H124" s="18" t="s">
        <v>688</v>
      </c>
      <c r="I124" s="15">
        <v>15.76</v>
      </c>
      <c r="J124" s="15">
        <f t="shared" si="6"/>
        <v>15.76</v>
      </c>
      <c r="K124" s="15">
        <v>1</v>
      </c>
      <c r="L124" s="15" t="s">
        <v>268</v>
      </c>
      <c r="M124" s="15" t="s">
        <v>275</v>
      </c>
      <c r="N124" s="15" t="s">
        <v>279</v>
      </c>
      <c r="O124" s="15" t="s">
        <v>100</v>
      </c>
    </row>
    <row r="125" spans="1:17">
      <c r="B125"/>
      <c r="C125" s="21" t="s">
        <v>2</v>
      </c>
      <c r="D125" s="44" t="s">
        <v>77</v>
      </c>
      <c r="E125" s="46" t="s">
        <v>1886</v>
      </c>
      <c r="F125" s="46" t="s">
        <v>598</v>
      </c>
      <c r="G125" s="18" t="s">
        <v>25</v>
      </c>
      <c r="H125" s="18" t="s">
        <v>689</v>
      </c>
      <c r="I125" s="15">
        <v>16.100000000000001</v>
      </c>
      <c r="J125" s="15">
        <f t="shared" si="6"/>
        <v>16.100000000000001</v>
      </c>
      <c r="K125" s="15">
        <v>1</v>
      </c>
      <c r="L125" s="15" t="s">
        <v>268</v>
      </c>
      <c r="M125" s="15" t="s">
        <v>275</v>
      </c>
      <c r="N125" s="15" t="s">
        <v>279</v>
      </c>
      <c r="O125" s="15" t="s">
        <v>100</v>
      </c>
    </row>
    <row r="126" spans="1:17">
      <c r="B126"/>
      <c r="C126" s="21" t="s">
        <v>2</v>
      </c>
      <c r="D126" s="44" t="s">
        <v>77</v>
      </c>
      <c r="E126" s="46" t="s">
        <v>1886</v>
      </c>
      <c r="F126" s="46" t="s">
        <v>598</v>
      </c>
      <c r="G126" s="18" t="s">
        <v>35</v>
      </c>
      <c r="H126" s="18" t="s">
        <v>675</v>
      </c>
      <c r="I126" s="15">
        <v>15.76</v>
      </c>
      <c r="J126" s="15">
        <f t="shared" si="6"/>
        <v>15.76</v>
      </c>
      <c r="K126" s="15">
        <v>1</v>
      </c>
      <c r="L126" s="15" t="s">
        <v>268</v>
      </c>
      <c r="M126" s="15" t="s">
        <v>269</v>
      </c>
      <c r="N126" s="15" t="s">
        <v>269</v>
      </c>
      <c r="O126" s="15" t="s">
        <v>100</v>
      </c>
    </row>
    <row r="127" spans="1:17">
      <c r="B127"/>
      <c r="C127" s="21" t="s">
        <v>2</v>
      </c>
      <c r="D127" s="44" t="s">
        <v>77</v>
      </c>
      <c r="E127" s="44"/>
      <c r="F127" s="46" t="s">
        <v>194</v>
      </c>
      <c r="G127" s="18" t="s">
        <v>169</v>
      </c>
      <c r="H127" s="18" t="s">
        <v>761</v>
      </c>
      <c r="I127" s="15">
        <f>19.33+1.2</f>
        <v>20.529999999999998</v>
      </c>
      <c r="J127" s="15">
        <f t="shared" si="6"/>
        <v>20.529999999999998</v>
      </c>
      <c r="L127" s="15" t="s">
        <v>268</v>
      </c>
      <c r="M127" s="15" t="s">
        <v>269</v>
      </c>
      <c r="N127" s="15" t="s">
        <v>269</v>
      </c>
      <c r="O127" s="15" t="s">
        <v>633</v>
      </c>
    </row>
    <row r="128" spans="1:17" ht="30">
      <c r="B128"/>
      <c r="C128" s="21" t="s">
        <v>2</v>
      </c>
      <c r="D128" s="44" t="s">
        <v>77</v>
      </c>
      <c r="E128" s="46" t="s">
        <v>1886</v>
      </c>
      <c r="F128" s="44" t="s">
        <v>249</v>
      </c>
      <c r="G128" s="27" t="s">
        <v>685</v>
      </c>
      <c r="H128" s="18" t="s">
        <v>680</v>
      </c>
      <c r="I128" s="15">
        <v>10.18</v>
      </c>
      <c r="J128" s="15">
        <f t="shared" si="6"/>
        <v>10.18</v>
      </c>
      <c r="K128" s="15">
        <v>1</v>
      </c>
      <c r="L128" s="15" t="s">
        <v>268</v>
      </c>
      <c r="M128" s="15" t="s">
        <v>267</v>
      </c>
      <c r="N128" s="15" t="s">
        <v>269</v>
      </c>
      <c r="O128" s="15" t="s">
        <v>100</v>
      </c>
    </row>
    <row r="129" spans="1:17">
      <c r="B129"/>
      <c r="C129" s="21" t="s">
        <v>2</v>
      </c>
      <c r="D129" s="44" t="s">
        <v>77</v>
      </c>
      <c r="E129" s="44"/>
      <c r="F129" s="46" t="s">
        <v>194</v>
      </c>
      <c r="G129" s="18" t="s">
        <v>170</v>
      </c>
      <c r="H129" s="18" t="s">
        <v>762</v>
      </c>
      <c r="I129" s="15">
        <v>44.38</v>
      </c>
      <c r="J129" s="15">
        <f t="shared" si="6"/>
        <v>44.38</v>
      </c>
      <c r="L129" s="15" t="s">
        <v>268</v>
      </c>
      <c r="M129" s="15" t="s">
        <v>269</v>
      </c>
      <c r="N129" s="15" t="s">
        <v>100</v>
      </c>
      <c r="O129" s="15" t="s">
        <v>100</v>
      </c>
    </row>
    <row r="130" spans="1:17">
      <c r="B130"/>
      <c r="C130" s="21" t="s">
        <v>2</v>
      </c>
      <c r="D130" s="44" t="s">
        <v>77</v>
      </c>
      <c r="E130" s="44"/>
      <c r="F130" s="46" t="s">
        <v>192</v>
      </c>
      <c r="G130" s="15" t="s">
        <v>174</v>
      </c>
      <c r="H130" s="18" t="s">
        <v>684</v>
      </c>
      <c r="I130" s="15">
        <v>2.36</v>
      </c>
      <c r="J130" s="15">
        <f t="shared" si="6"/>
        <v>2.36</v>
      </c>
      <c r="L130" s="18" t="s">
        <v>572</v>
      </c>
      <c r="M130" s="15" t="s">
        <v>267</v>
      </c>
      <c r="N130" s="15" t="s">
        <v>269</v>
      </c>
      <c r="O130" s="15" t="s">
        <v>100</v>
      </c>
    </row>
    <row r="131" spans="1:17">
      <c r="B131"/>
      <c r="C131" s="21" t="s">
        <v>2</v>
      </c>
      <c r="D131" s="44" t="s">
        <v>77</v>
      </c>
      <c r="E131" s="44"/>
      <c r="F131" s="46" t="s">
        <v>192</v>
      </c>
      <c r="G131" s="15" t="s">
        <v>172</v>
      </c>
      <c r="H131" s="18" t="s">
        <v>679</v>
      </c>
      <c r="I131" s="15">
        <v>2.2999999999999998</v>
      </c>
      <c r="J131" s="15">
        <f t="shared" si="6"/>
        <v>2.2999999999999998</v>
      </c>
      <c r="L131" s="18" t="s">
        <v>572</v>
      </c>
      <c r="M131" s="15" t="s">
        <v>267</v>
      </c>
      <c r="N131" s="15" t="s">
        <v>269</v>
      </c>
      <c r="O131" s="15" t="s">
        <v>100</v>
      </c>
    </row>
    <row r="132" spans="1:17">
      <c r="B132"/>
      <c r="C132" s="21" t="s">
        <v>2</v>
      </c>
      <c r="D132" s="44" t="s">
        <v>77</v>
      </c>
      <c r="E132" s="44"/>
      <c r="F132" s="46" t="s">
        <v>192</v>
      </c>
      <c r="G132" s="15" t="s">
        <v>173</v>
      </c>
      <c r="H132" s="18" t="s">
        <v>678</v>
      </c>
      <c r="I132" s="15">
        <v>2.2999999999999998</v>
      </c>
      <c r="J132" s="15">
        <f t="shared" si="6"/>
        <v>2.2999999999999998</v>
      </c>
      <c r="L132" s="18" t="s">
        <v>572</v>
      </c>
      <c r="M132" s="15" t="s">
        <v>267</v>
      </c>
      <c r="N132" s="15" t="s">
        <v>269</v>
      </c>
      <c r="O132" s="15" t="s">
        <v>100</v>
      </c>
    </row>
    <row r="133" spans="1:17">
      <c r="B133"/>
      <c r="C133" s="21" t="s">
        <v>2</v>
      </c>
      <c r="D133" s="44" t="s">
        <v>77</v>
      </c>
      <c r="E133" s="44"/>
      <c r="F133" s="46" t="s">
        <v>192</v>
      </c>
      <c r="G133" s="15" t="s">
        <v>27</v>
      </c>
      <c r="H133" s="18" t="s">
        <v>677</v>
      </c>
      <c r="I133" s="15">
        <v>1.7</v>
      </c>
      <c r="J133" s="15">
        <f t="shared" ref="J133:J143" si="7">I133</f>
        <v>1.7</v>
      </c>
      <c r="L133" s="18" t="s">
        <v>572</v>
      </c>
      <c r="M133" s="15" t="s">
        <v>267</v>
      </c>
      <c r="N133" s="15" t="s">
        <v>269</v>
      </c>
      <c r="O133" s="15" t="s">
        <v>100</v>
      </c>
    </row>
    <row r="134" spans="1:17">
      <c r="A134" s="2">
        <f>SUM(I118:I134)</f>
        <v>203.59</v>
      </c>
      <c r="B134"/>
      <c r="C134" s="21" t="s">
        <v>2</v>
      </c>
      <c r="D134" s="44" t="s">
        <v>77</v>
      </c>
      <c r="E134" s="44"/>
      <c r="F134" s="46" t="s">
        <v>192</v>
      </c>
      <c r="G134" s="15" t="s">
        <v>171</v>
      </c>
      <c r="H134" s="18" t="s">
        <v>676</v>
      </c>
      <c r="I134" s="15">
        <v>1.7</v>
      </c>
      <c r="J134" s="15">
        <f t="shared" si="7"/>
        <v>1.7</v>
      </c>
      <c r="L134" s="18" t="s">
        <v>572</v>
      </c>
      <c r="M134" s="15" t="s">
        <v>267</v>
      </c>
      <c r="N134" s="15" t="s">
        <v>269</v>
      </c>
      <c r="O134" s="15" t="s">
        <v>100</v>
      </c>
    </row>
    <row r="135" spans="1:17">
      <c r="B135"/>
      <c r="C135" s="305" t="s">
        <v>632</v>
      </c>
      <c r="D135" s="44" t="s">
        <v>77</v>
      </c>
      <c r="E135" s="44"/>
      <c r="F135" s="44" t="s">
        <v>192</v>
      </c>
      <c r="G135" s="18" t="s">
        <v>165</v>
      </c>
      <c r="H135" s="18" t="s">
        <v>690</v>
      </c>
      <c r="I135" s="18">
        <v>4.72</v>
      </c>
      <c r="J135" s="18">
        <f t="shared" si="7"/>
        <v>4.72</v>
      </c>
      <c r="K135" s="18"/>
      <c r="L135" s="18" t="s">
        <v>572</v>
      </c>
      <c r="M135" s="15" t="s">
        <v>267</v>
      </c>
      <c r="N135" s="15" t="s">
        <v>363</v>
      </c>
      <c r="O135" s="15" t="s">
        <v>100</v>
      </c>
      <c r="P135" s="2"/>
      <c r="Q135" s="2">
        <f>SUM(J37:J219)</f>
        <v>17281.489999999991</v>
      </c>
    </row>
    <row r="136" spans="1:17">
      <c r="B136"/>
      <c r="C136" s="305" t="s">
        <v>632</v>
      </c>
      <c r="D136" s="44" t="s">
        <v>77</v>
      </c>
      <c r="E136" s="44"/>
      <c r="F136" s="44" t="s">
        <v>355</v>
      </c>
      <c r="G136" s="18" t="s">
        <v>160</v>
      </c>
      <c r="H136" s="18" t="s">
        <v>693</v>
      </c>
      <c r="I136" s="32">
        <v>44.35</v>
      </c>
      <c r="J136" s="32">
        <f t="shared" si="7"/>
        <v>44.35</v>
      </c>
      <c r="K136" s="32">
        <v>20</v>
      </c>
      <c r="L136" s="18" t="s">
        <v>572</v>
      </c>
      <c r="M136" s="15" t="s">
        <v>269</v>
      </c>
      <c r="N136" s="15" t="s">
        <v>363</v>
      </c>
      <c r="O136" s="36" t="s">
        <v>282</v>
      </c>
      <c r="P136"/>
    </row>
    <row r="137" spans="1:17">
      <c r="B137"/>
      <c r="C137" s="305" t="s">
        <v>632</v>
      </c>
      <c r="D137" s="44" t="s">
        <v>77</v>
      </c>
      <c r="E137" s="46" t="s">
        <v>1886</v>
      </c>
      <c r="F137" s="44" t="s">
        <v>249</v>
      </c>
      <c r="G137" s="18" t="s">
        <v>161</v>
      </c>
      <c r="H137" s="18" t="s">
        <v>691</v>
      </c>
      <c r="I137" s="32">
        <v>28.76</v>
      </c>
      <c r="J137" s="32">
        <f t="shared" si="7"/>
        <v>28.76</v>
      </c>
      <c r="K137" s="32">
        <v>15</v>
      </c>
      <c r="L137" s="18" t="s">
        <v>572</v>
      </c>
      <c r="M137" s="15" t="s">
        <v>269</v>
      </c>
      <c r="N137" s="15" t="s">
        <v>363</v>
      </c>
      <c r="O137" s="36" t="s">
        <v>282</v>
      </c>
      <c r="P137"/>
    </row>
    <row r="138" spans="1:17">
      <c r="B138"/>
      <c r="C138" s="305" t="s">
        <v>632</v>
      </c>
      <c r="D138" s="44" t="s">
        <v>77</v>
      </c>
      <c r="E138" s="44"/>
      <c r="F138" s="44" t="s">
        <v>211</v>
      </c>
      <c r="G138" s="18" t="s">
        <v>4</v>
      </c>
      <c r="H138" s="18" t="s">
        <v>692</v>
      </c>
      <c r="I138" s="32">
        <v>7.66</v>
      </c>
      <c r="J138" s="32">
        <f t="shared" si="7"/>
        <v>7.66</v>
      </c>
      <c r="K138" s="32"/>
      <c r="L138" s="18" t="s">
        <v>572</v>
      </c>
      <c r="M138" s="15" t="s">
        <v>269</v>
      </c>
      <c r="N138" s="15" t="s">
        <v>363</v>
      </c>
      <c r="O138" s="15" t="s">
        <v>100</v>
      </c>
      <c r="P138"/>
    </row>
    <row r="139" spans="1:17">
      <c r="B139"/>
      <c r="C139" s="305" t="s">
        <v>632</v>
      </c>
      <c r="D139" s="44" t="s">
        <v>77</v>
      </c>
      <c r="E139" s="46" t="s">
        <v>1886</v>
      </c>
      <c r="F139" s="44" t="s">
        <v>249</v>
      </c>
      <c r="G139" s="18" t="s">
        <v>162</v>
      </c>
      <c r="H139" s="18" t="s">
        <v>694</v>
      </c>
      <c r="I139" s="32">
        <v>10.27</v>
      </c>
      <c r="J139" s="32">
        <f t="shared" si="7"/>
        <v>10.27</v>
      </c>
      <c r="K139" s="32">
        <v>2</v>
      </c>
      <c r="L139" s="18" t="s">
        <v>572</v>
      </c>
      <c r="M139" s="15" t="s">
        <v>269</v>
      </c>
      <c r="N139" s="15" t="s">
        <v>363</v>
      </c>
      <c r="O139" s="15" t="s">
        <v>282</v>
      </c>
      <c r="P139"/>
    </row>
    <row r="140" spans="1:17">
      <c r="B140"/>
      <c r="C140" s="305" t="s">
        <v>632</v>
      </c>
      <c r="D140" s="44" t="s">
        <v>77</v>
      </c>
      <c r="E140" s="44"/>
      <c r="F140" s="44" t="s">
        <v>355</v>
      </c>
      <c r="G140" s="18" t="s">
        <v>33</v>
      </c>
      <c r="H140" s="18" t="s">
        <v>695</v>
      </c>
      <c r="I140" s="32">
        <v>20.309999999999999</v>
      </c>
      <c r="J140" s="32">
        <f t="shared" si="7"/>
        <v>20.309999999999999</v>
      </c>
      <c r="K140" s="32">
        <v>3</v>
      </c>
      <c r="L140" s="18" t="s">
        <v>572</v>
      </c>
      <c r="M140" s="32" t="s">
        <v>267</v>
      </c>
      <c r="N140" s="32" t="s">
        <v>363</v>
      </c>
      <c r="O140" s="15" t="s">
        <v>100</v>
      </c>
      <c r="P140"/>
    </row>
    <row r="141" spans="1:17">
      <c r="B141"/>
      <c r="C141" s="305" t="s">
        <v>632</v>
      </c>
      <c r="D141" s="44" t="s">
        <v>77</v>
      </c>
      <c r="E141" s="44"/>
      <c r="F141" s="44" t="s">
        <v>194</v>
      </c>
      <c r="G141" s="18" t="s">
        <v>163</v>
      </c>
      <c r="H141" s="18" t="s">
        <v>763</v>
      </c>
      <c r="I141" s="32">
        <v>22.96</v>
      </c>
      <c r="J141" s="32">
        <f t="shared" si="7"/>
        <v>22.96</v>
      </c>
      <c r="K141" s="32"/>
      <c r="L141" s="18" t="s">
        <v>572</v>
      </c>
      <c r="M141" s="15" t="s">
        <v>269</v>
      </c>
      <c r="N141" s="15" t="s">
        <v>363</v>
      </c>
      <c r="O141" s="15" t="s">
        <v>282</v>
      </c>
      <c r="P141"/>
    </row>
    <row r="142" spans="1:17">
      <c r="A142" s="2">
        <f>SUM(I135:I142)</f>
        <v>183.55</v>
      </c>
      <c r="B142"/>
      <c r="C142" s="305" t="s">
        <v>632</v>
      </c>
      <c r="D142" s="44" t="s">
        <v>77</v>
      </c>
      <c r="E142" s="44"/>
      <c r="F142" s="44" t="s">
        <v>194</v>
      </c>
      <c r="G142" s="18" t="s">
        <v>164</v>
      </c>
      <c r="H142" s="18" t="s">
        <v>764</v>
      </c>
      <c r="I142" s="15">
        <v>44.52</v>
      </c>
      <c r="J142" s="15">
        <f t="shared" si="7"/>
        <v>44.52</v>
      </c>
      <c r="L142" s="18" t="s">
        <v>572</v>
      </c>
      <c r="M142" s="15" t="s">
        <v>269</v>
      </c>
      <c r="N142" s="15" t="s">
        <v>279</v>
      </c>
      <c r="O142" s="15" t="s">
        <v>282</v>
      </c>
      <c r="P142"/>
    </row>
    <row r="143" spans="1:17">
      <c r="B143"/>
      <c r="C143" s="18" t="s">
        <v>609</v>
      </c>
      <c r="D143" s="44" t="s">
        <v>100</v>
      </c>
      <c r="E143" s="44"/>
      <c r="F143" s="44" t="s">
        <v>610</v>
      </c>
      <c r="G143" s="18" t="s">
        <v>195</v>
      </c>
      <c r="H143" s="18" t="s">
        <v>696</v>
      </c>
      <c r="I143" s="15">
        <v>78</v>
      </c>
      <c r="J143" s="15">
        <f t="shared" si="7"/>
        <v>78</v>
      </c>
      <c r="L143" s="15" t="s">
        <v>643</v>
      </c>
      <c r="M143" s="15" t="s">
        <v>269</v>
      </c>
      <c r="N143" s="15" t="s">
        <v>269</v>
      </c>
      <c r="O143" s="15" t="s">
        <v>100</v>
      </c>
      <c r="P143"/>
    </row>
    <row r="144" spans="1:17">
      <c r="B144"/>
      <c r="C144"/>
      <c r="D144"/>
      <c r="E144"/>
      <c r="F144"/>
      <c r="G144"/>
      <c r="H144" s="3"/>
      <c r="I144" s="1"/>
      <c r="J144" s="1">
        <f>SUM(J4:J143)</f>
        <v>5179.6600000000017</v>
      </c>
      <c r="K144" s="1"/>
      <c r="L144" s="1"/>
      <c r="M144" s="1"/>
      <c r="N144" s="1"/>
      <c r="O144" s="28"/>
      <c r="P144"/>
    </row>
    <row r="145" spans="1:16">
      <c r="B145"/>
      <c r="C145"/>
      <c r="D145"/>
      <c r="E145"/>
      <c r="F145"/>
      <c r="G145"/>
      <c r="H145" s="3"/>
      <c r="I145" s="1"/>
      <c r="J145" s="1"/>
      <c r="K145" s="1"/>
      <c r="L145" s="1"/>
      <c r="M145" s="1"/>
      <c r="N145" s="1"/>
      <c r="O145" s="28"/>
      <c r="P145"/>
    </row>
    <row r="146" spans="1:16" ht="15" customHeight="1">
      <c r="B146"/>
      <c r="C146" s="304" t="s">
        <v>1943</v>
      </c>
      <c r="D146" s="44" t="s">
        <v>644</v>
      </c>
      <c r="E146" s="44"/>
      <c r="F146" s="46" t="s">
        <v>602</v>
      </c>
      <c r="G146" s="96" t="s">
        <v>1946</v>
      </c>
      <c r="H146" s="18" t="s">
        <v>100</v>
      </c>
      <c r="I146" s="15">
        <v>680.88</v>
      </c>
      <c r="J146" s="15">
        <v>680.88</v>
      </c>
      <c r="L146" s="15" t="s">
        <v>1856</v>
      </c>
      <c r="M146" s="15" t="s">
        <v>100</v>
      </c>
      <c r="N146" s="15" t="s">
        <v>100</v>
      </c>
      <c r="O146" s="15" t="s">
        <v>100</v>
      </c>
      <c r="P146"/>
    </row>
    <row r="147" spans="1:16">
      <c r="B147"/>
      <c r="C147" s="304" t="s">
        <v>1943</v>
      </c>
      <c r="D147" s="44" t="s">
        <v>644</v>
      </c>
      <c r="E147" s="44"/>
      <c r="F147" s="46" t="s">
        <v>616</v>
      </c>
      <c r="G147" s="96" t="s">
        <v>1944</v>
      </c>
      <c r="H147" s="18" t="s">
        <v>100</v>
      </c>
      <c r="I147" s="15">
        <f>2179.28-467.93</f>
        <v>1711.3500000000001</v>
      </c>
      <c r="J147" s="15">
        <f>2179.28-467.93</f>
        <v>1711.3500000000001</v>
      </c>
      <c r="L147" s="15" t="s">
        <v>1856</v>
      </c>
      <c r="M147" s="15" t="s">
        <v>100</v>
      </c>
      <c r="N147" s="15" t="s">
        <v>100</v>
      </c>
      <c r="O147" s="15" t="s">
        <v>100</v>
      </c>
      <c r="P147"/>
    </row>
    <row r="148" spans="1:16">
      <c r="B148"/>
      <c r="C148" s="304" t="s">
        <v>1943</v>
      </c>
      <c r="D148" s="44" t="s">
        <v>644</v>
      </c>
      <c r="E148" s="44"/>
      <c r="F148" s="264" t="s">
        <v>615</v>
      </c>
      <c r="G148" s="96" t="s">
        <v>1941</v>
      </c>
      <c r="I148" s="15">
        <v>1173.78</v>
      </c>
      <c r="J148" s="15">
        <v>1173.78</v>
      </c>
      <c r="L148" s="15" t="s">
        <v>1950</v>
      </c>
      <c r="P148"/>
    </row>
    <row r="149" spans="1:16">
      <c r="B149"/>
      <c r="C149" s="304" t="s">
        <v>1943</v>
      </c>
      <c r="D149" s="44" t="s">
        <v>644</v>
      </c>
      <c r="E149" s="44"/>
      <c r="F149" s="264" t="s">
        <v>910</v>
      </c>
      <c r="G149" s="96" t="s">
        <v>1949</v>
      </c>
      <c r="I149" s="12">
        <v>310.35000000000002</v>
      </c>
      <c r="J149" s="12">
        <v>310.35000000000002</v>
      </c>
      <c r="L149" s="15" t="s">
        <v>1856</v>
      </c>
      <c r="P149"/>
    </row>
    <row r="150" spans="1:16">
      <c r="B150"/>
      <c r="C150" s="304" t="s">
        <v>1943</v>
      </c>
      <c r="D150" s="44" t="s">
        <v>644</v>
      </c>
      <c r="E150" s="44"/>
      <c r="F150" s="264" t="s">
        <v>524</v>
      </c>
      <c r="G150" s="96" t="s">
        <v>1949</v>
      </c>
      <c r="I150" s="12">
        <v>51.4</v>
      </c>
      <c r="J150" s="12">
        <v>51.4</v>
      </c>
      <c r="L150" s="15" t="s">
        <v>1856</v>
      </c>
      <c r="P150"/>
    </row>
    <row r="151" spans="1:16">
      <c r="B151"/>
      <c r="C151" s="304" t="s">
        <v>1940</v>
      </c>
      <c r="D151" s="44" t="s">
        <v>644</v>
      </c>
      <c r="E151" s="44"/>
      <c r="F151" s="46" t="s">
        <v>616</v>
      </c>
      <c r="G151" s="96" t="s">
        <v>1945</v>
      </c>
      <c r="H151" s="18" t="s">
        <v>100</v>
      </c>
      <c r="I151" s="15">
        <v>713.78</v>
      </c>
      <c r="J151" s="15">
        <v>713.78</v>
      </c>
      <c r="L151" s="15" t="s">
        <v>1856</v>
      </c>
      <c r="M151" s="15" t="s">
        <v>100</v>
      </c>
      <c r="N151" s="15" t="s">
        <v>100</v>
      </c>
      <c r="O151" s="15" t="s">
        <v>100</v>
      </c>
      <c r="P151"/>
    </row>
    <row r="152" spans="1:16">
      <c r="B152"/>
      <c r="C152" s="304" t="s">
        <v>1940</v>
      </c>
      <c r="D152" s="44" t="s">
        <v>644</v>
      </c>
      <c r="E152" s="44"/>
      <c r="F152" s="264" t="s">
        <v>910</v>
      </c>
      <c r="G152" s="96" t="s">
        <v>1948</v>
      </c>
      <c r="I152" s="12">
        <v>150.21</v>
      </c>
      <c r="J152" s="12">
        <v>150.21</v>
      </c>
      <c r="L152" s="15" t="s">
        <v>1856</v>
      </c>
      <c r="P152"/>
    </row>
    <row r="153" spans="1:16">
      <c r="B153"/>
      <c r="C153" s="304" t="s">
        <v>1940</v>
      </c>
      <c r="D153" s="44" t="s">
        <v>644</v>
      </c>
      <c r="E153" s="44"/>
      <c r="F153" s="264" t="s">
        <v>615</v>
      </c>
      <c r="G153" s="96" t="s">
        <v>1942</v>
      </c>
      <c r="I153" s="103">
        <v>510.57</v>
      </c>
      <c r="J153" s="103">
        <v>510.57</v>
      </c>
      <c r="L153" s="15" t="s">
        <v>1950</v>
      </c>
      <c r="P153"/>
    </row>
    <row r="154" spans="1:16">
      <c r="B154"/>
      <c r="C154" s="304" t="s">
        <v>1940</v>
      </c>
      <c r="D154" s="44" t="s">
        <v>644</v>
      </c>
      <c r="E154" s="44"/>
      <c r="F154" s="46" t="s">
        <v>602</v>
      </c>
      <c r="G154" s="96" t="s">
        <v>1947</v>
      </c>
      <c r="I154" s="103">
        <f>1088.67-37.2</f>
        <v>1051.47</v>
      </c>
      <c r="J154" s="103">
        <f>1088.67-37.2</f>
        <v>1051.47</v>
      </c>
      <c r="L154" s="15" t="s">
        <v>1856</v>
      </c>
      <c r="P154"/>
    </row>
    <row r="155" spans="1:16">
      <c r="B155"/>
      <c r="P155"/>
    </row>
    <row r="156" spans="1:16">
      <c r="B156"/>
      <c r="D156" s="78"/>
      <c r="E156" s="78"/>
      <c r="L156" s="18"/>
      <c r="P156"/>
    </row>
    <row r="157" spans="1:16">
      <c r="A157">
        <f>SUM(I157:I230)</f>
        <v>1756.6699999999998</v>
      </c>
      <c r="B157"/>
      <c r="C157" s="306" t="s">
        <v>1529</v>
      </c>
      <c r="D157" s="97" t="s">
        <v>1383</v>
      </c>
      <c r="E157" s="97"/>
      <c r="F157" s="44" t="s">
        <v>355</v>
      </c>
      <c r="G157" s="48" t="s">
        <v>217</v>
      </c>
      <c r="I157" s="112">
        <v>14.91</v>
      </c>
      <c r="J157" s="112">
        <v>14.91</v>
      </c>
      <c r="L157" s="15" t="s">
        <v>268</v>
      </c>
      <c r="P157"/>
    </row>
    <row r="158" spans="1:16">
      <c r="B158"/>
      <c r="C158" s="306" t="s">
        <v>1529</v>
      </c>
      <c r="D158" s="97" t="s">
        <v>1383</v>
      </c>
      <c r="E158" s="97"/>
      <c r="F158" s="44" t="s">
        <v>194</v>
      </c>
      <c r="G158" s="48" t="s">
        <v>244</v>
      </c>
      <c r="I158" s="12">
        <v>45.36</v>
      </c>
      <c r="J158" s="12">
        <v>45.36</v>
      </c>
      <c r="L158" s="15" t="s">
        <v>268</v>
      </c>
      <c r="P158"/>
    </row>
    <row r="159" spans="1:16">
      <c r="B159"/>
      <c r="C159" s="306" t="s">
        <v>1529</v>
      </c>
      <c r="D159" s="97" t="s">
        <v>1383</v>
      </c>
      <c r="E159" s="97"/>
      <c r="F159" s="44" t="s">
        <v>355</v>
      </c>
      <c r="G159" s="48" t="s">
        <v>233</v>
      </c>
      <c r="I159" s="12">
        <v>7.66</v>
      </c>
      <c r="J159" s="12">
        <v>7.66</v>
      </c>
      <c r="L159" s="15" t="s">
        <v>268</v>
      </c>
      <c r="P159"/>
    </row>
    <row r="160" spans="1:16">
      <c r="B160"/>
      <c r="C160" s="306" t="s">
        <v>1529</v>
      </c>
      <c r="D160" s="97" t="s">
        <v>1383</v>
      </c>
      <c r="E160" s="46" t="s">
        <v>1886</v>
      </c>
      <c r="F160" s="46" t="s">
        <v>175</v>
      </c>
      <c r="G160" s="48" t="s">
        <v>906</v>
      </c>
      <c r="H160" s="18" t="s">
        <v>1004</v>
      </c>
      <c r="I160" s="12">
        <v>23.69</v>
      </c>
      <c r="J160" s="12">
        <v>23.69</v>
      </c>
      <c r="K160" s="15">
        <v>6</v>
      </c>
      <c r="L160" s="15" t="s">
        <v>268</v>
      </c>
      <c r="P160"/>
    </row>
    <row r="161" spans="2:17">
      <c r="B161"/>
      <c r="C161" s="306" t="s">
        <v>1529</v>
      </c>
      <c r="D161" s="97" t="s">
        <v>1383</v>
      </c>
      <c r="E161" s="46" t="s">
        <v>1886</v>
      </c>
      <c r="F161" s="46" t="s">
        <v>1364</v>
      </c>
      <c r="G161" s="48" t="s">
        <v>222</v>
      </c>
      <c r="H161" s="18" t="s">
        <v>1005</v>
      </c>
      <c r="I161" s="12">
        <v>16.260000000000002</v>
      </c>
      <c r="J161" s="12">
        <v>16.260000000000002</v>
      </c>
      <c r="K161" s="15">
        <v>30</v>
      </c>
      <c r="L161" s="15" t="s">
        <v>268</v>
      </c>
      <c r="P161"/>
    </row>
    <row r="162" spans="2:17">
      <c r="B162"/>
      <c r="C162" s="306" t="s">
        <v>1529</v>
      </c>
      <c r="D162" s="97" t="s">
        <v>1383</v>
      </c>
      <c r="E162" s="46" t="s">
        <v>1886</v>
      </c>
      <c r="F162" s="46" t="s">
        <v>175</v>
      </c>
      <c r="G162" s="48" t="s">
        <v>907</v>
      </c>
      <c r="H162" s="18" t="s">
        <v>1006</v>
      </c>
      <c r="I162" s="12">
        <v>15.93</v>
      </c>
      <c r="J162" s="12">
        <v>15.93</v>
      </c>
      <c r="K162" s="15">
        <v>3</v>
      </c>
      <c r="L162" s="15" t="s">
        <v>268</v>
      </c>
      <c r="P162"/>
      <c r="Q162" s="2"/>
    </row>
    <row r="163" spans="2:17">
      <c r="B163"/>
      <c r="C163" s="306" t="s">
        <v>1529</v>
      </c>
      <c r="D163" s="97" t="s">
        <v>1383</v>
      </c>
      <c r="E163" s="46" t="s">
        <v>1886</v>
      </c>
      <c r="F163" s="46" t="s">
        <v>175</v>
      </c>
      <c r="G163" s="48" t="s">
        <v>1812</v>
      </c>
      <c r="H163" s="18" t="s">
        <v>1007</v>
      </c>
      <c r="I163" s="12">
        <v>16.14</v>
      </c>
      <c r="J163" s="12">
        <v>16.14</v>
      </c>
      <c r="K163" s="15">
        <v>3</v>
      </c>
      <c r="L163" s="15" t="s">
        <v>268</v>
      </c>
      <c r="P163"/>
    </row>
    <row r="164" spans="2:17">
      <c r="B164"/>
      <c r="C164" s="306" t="s">
        <v>1529</v>
      </c>
      <c r="D164" s="97" t="s">
        <v>1383</v>
      </c>
      <c r="E164" s="46" t="s">
        <v>1886</v>
      </c>
      <c r="F164" s="46" t="s">
        <v>175</v>
      </c>
      <c r="G164" s="48" t="s">
        <v>1813</v>
      </c>
      <c r="H164" s="18" t="s">
        <v>1010</v>
      </c>
      <c r="I164" s="12">
        <v>15.82</v>
      </c>
      <c r="J164" s="12">
        <v>15.82</v>
      </c>
      <c r="K164" s="15">
        <v>1</v>
      </c>
      <c r="L164" s="15" t="s">
        <v>911</v>
      </c>
      <c r="P164"/>
    </row>
    <row r="165" spans="2:17">
      <c r="B165"/>
      <c r="C165" s="306" t="s">
        <v>1529</v>
      </c>
      <c r="D165" s="97" t="s">
        <v>1383</v>
      </c>
      <c r="E165" s="46" t="s">
        <v>1886</v>
      </c>
      <c r="F165" s="46" t="s">
        <v>175</v>
      </c>
      <c r="G165" s="48" t="s">
        <v>1814</v>
      </c>
      <c r="H165" s="18" t="s">
        <v>1011</v>
      </c>
      <c r="I165" s="12">
        <v>12.31</v>
      </c>
      <c r="J165" s="12">
        <v>12.31</v>
      </c>
      <c r="K165" s="15">
        <v>6</v>
      </c>
      <c r="L165" s="15" t="s">
        <v>268</v>
      </c>
      <c r="P165"/>
    </row>
    <row r="166" spans="2:17">
      <c r="B166"/>
      <c r="C166" s="306" t="s">
        <v>1529</v>
      </c>
      <c r="D166" s="97" t="s">
        <v>1383</v>
      </c>
      <c r="E166" s="46" t="s">
        <v>1886</v>
      </c>
      <c r="F166" s="46" t="s">
        <v>175</v>
      </c>
      <c r="G166" s="48" t="s">
        <v>1814</v>
      </c>
      <c r="H166" s="18" t="s">
        <v>1012</v>
      </c>
      <c r="I166" s="12">
        <v>12.3</v>
      </c>
      <c r="J166" s="12">
        <v>12.3</v>
      </c>
      <c r="K166" s="15">
        <v>6</v>
      </c>
      <c r="L166" s="15" t="s">
        <v>268</v>
      </c>
      <c r="P166"/>
    </row>
    <row r="167" spans="2:17">
      <c r="B167"/>
      <c r="C167" s="306" t="s">
        <v>1529</v>
      </c>
      <c r="D167" s="97" t="s">
        <v>1383</v>
      </c>
      <c r="E167" s="46" t="s">
        <v>1886</v>
      </c>
      <c r="F167" s="46" t="s">
        <v>175</v>
      </c>
      <c r="G167" s="98" t="s">
        <v>1814</v>
      </c>
      <c r="H167" s="18" t="s">
        <v>1013</v>
      </c>
      <c r="I167" s="12">
        <v>12.34</v>
      </c>
      <c r="J167" s="12">
        <v>12.34</v>
      </c>
      <c r="K167" s="15">
        <v>6</v>
      </c>
      <c r="L167" s="15" t="s">
        <v>268</v>
      </c>
      <c r="P167"/>
    </row>
    <row r="168" spans="2:17">
      <c r="B168"/>
      <c r="C168" s="306" t="s">
        <v>1529</v>
      </c>
      <c r="D168" s="97" t="s">
        <v>1383</v>
      </c>
      <c r="E168" s="46" t="s">
        <v>1886</v>
      </c>
      <c r="F168" s="46" t="s">
        <v>175</v>
      </c>
      <c r="G168" s="61" t="s">
        <v>1814</v>
      </c>
      <c r="H168" s="18" t="s">
        <v>1014</v>
      </c>
      <c r="I168" s="12">
        <v>12.82</v>
      </c>
      <c r="J168" s="12">
        <v>12.82</v>
      </c>
      <c r="K168" s="15">
        <v>6</v>
      </c>
      <c r="L168" s="15" t="s">
        <v>268</v>
      </c>
      <c r="P168"/>
    </row>
    <row r="169" spans="2:17">
      <c r="B169"/>
      <c r="C169" s="306" t="s">
        <v>1529</v>
      </c>
      <c r="D169" s="97" t="s">
        <v>1383</v>
      </c>
      <c r="E169" s="46" t="s">
        <v>1886</v>
      </c>
      <c r="F169" s="46" t="s">
        <v>1364</v>
      </c>
      <c r="G169" s="61" t="s">
        <v>908</v>
      </c>
      <c r="H169" s="18" t="s">
        <v>1015</v>
      </c>
      <c r="I169" s="17">
        <v>18.93</v>
      </c>
      <c r="J169" s="17">
        <v>18.93</v>
      </c>
      <c r="K169" s="15">
        <v>10</v>
      </c>
      <c r="L169" s="15" t="s">
        <v>268</v>
      </c>
      <c r="P169"/>
    </row>
    <row r="170" spans="2:17">
      <c r="B170"/>
      <c r="C170" s="306" t="s">
        <v>1529</v>
      </c>
      <c r="D170" s="97" t="s">
        <v>1383</v>
      </c>
      <c r="E170" s="46" t="s">
        <v>1886</v>
      </c>
      <c r="F170" s="46" t="s">
        <v>1364</v>
      </c>
      <c r="G170" s="61" t="s">
        <v>908</v>
      </c>
      <c r="H170" s="18" t="s">
        <v>1016</v>
      </c>
      <c r="I170" s="17">
        <v>19.29</v>
      </c>
      <c r="J170" s="17">
        <v>19.29</v>
      </c>
      <c r="K170" s="15">
        <v>10</v>
      </c>
      <c r="L170" s="15" t="s">
        <v>268</v>
      </c>
      <c r="P170"/>
    </row>
    <row r="171" spans="2:17">
      <c r="B171"/>
      <c r="C171" s="306" t="s">
        <v>1529</v>
      </c>
      <c r="D171" s="97" t="s">
        <v>1383</v>
      </c>
      <c r="E171" s="46" t="s">
        <v>1886</v>
      </c>
      <c r="F171" s="46" t="s">
        <v>175</v>
      </c>
      <c r="G171" s="61" t="s">
        <v>1814</v>
      </c>
      <c r="H171" s="18" t="s">
        <v>1017</v>
      </c>
      <c r="I171" s="17">
        <v>12.29</v>
      </c>
      <c r="J171" s="17">
        <v>12.29</v>
      </c>
      <c r="K171" s="15">
        <v>6</v>
      </c>
      <c r="L171" s="15" t="s">
        <v>268</v>
      </c>
      <c r="P171"/>
    </row>
    <row r="172" spans="2:17">
      <c r="B172"/>
      <c r="C172" s="306" t="s">
        <v>1529</v>
      </c>
      <c r="D172" s="97" t="s">
        <v>1383</v>
      </c>
      <c r="E172" s="46" t="s">
        <v>1886</v>
      </c>
      <c r="F172" s="46" t="s">
        <v>175</v>
      </c>
      <c r="G172" s="48" t="s">
        <v>1814</v>
      </c>
      <c r="H172" s="18" t="s">
        <v>1018</v>
      </c>
      <c r="I172" s="12">
        <v>12.27</v>
      </c>
      <c r="J172" s="12">
        <v>12.27</v>
      </c>
      <c r="K172" s="15">
        <v>6</v>
      </c>
      <c r="L172" s="15" t="s">
        <v>268</v>
      </c>
      <c r="P172"/>
    </row>
    <row r="173" spans="2:17">
      <c r="B173"/>
      <c r="C173" s="306" t="s">
        <v>1529</v>
      </c>
      <c r="D173" s="97" t="s">
        <v>1383</v>
      </c>
      <c r="E173" s="46" t="s">
        <v>1886</v>
      </c>
      <c r="F173" s="46" t="s">
        <v>175</v>
      </c>
      <c r="G173" s="48" t="s">
        <v>1814</v>
      </c>
      <c r="H173" s="18" t="s">
        <v>1019</v>
      </c>
      <c r="I173" s="12">
        <v>12.28</v>
      </c>
      <c r="J173" s="12">
        <v>12.28</v>
      </c>
      <c r="K173" s="15">
        <v>6</v>
      </c>
      <c r="L173" s="15" t="s">
        <v>268</v>
      </c>
      <c r="P173"/>
    </row>
    <row r="174" spans="2:17">
      <c r="B174"/>
      <c r="C174" s="306" t="s">
        <v>1529</v>
      </c>
      <c r="D174" s="97" t="s">
        <v>1383</v>
      </c>
      <c r="E174" s="46" t="s">
        <v>1886</v>
      </c>
      <c r="F174" s="46" t="s">
        <v>175</v>
      </c>
      <c r="G174" s="48" t="s">
        <v>1814</v>
      </c>
      <c r="H174" s="18" t="s">
        <v>1020</v>
      </c>
      <c r="I174" s="12">
        <v>12.79</v>
      </c>
      <c r="J174" s="12">
        <v>12.79</v>
      </c>
      <c r="K174" s="15">
        <v>6</v>
      </c>
      <c r="L174" s="15" t="s">
        <v>268</v>
      </c>
      <c r="P174"/>
    </row>
    <row r="175" spans="2:17">
      <c r="B175"/>
      <c r="C175" s="306" t="s">
        <v>1529</v>
      </c>
      <c r="D175" s="97" t="s">
        <v>1383</v>
      </c>
      <c r="E175" s="46" t="s">
        <v>1886</v>
      </c>
      <c r="F175" s="46" t="s">
        <v>175</v>
      </c>
      <c r="G175" s="48" t="s">
        <v>1814</v>
      </c>
      <c r="H175" s="18" t="s">
        <v>1021</v>
      </c>
      <c r="I175" s="12">
        <v>12.3</v>
      </c>
      <c r="J175" s="12">
        <v>12.3</v>
      </c>
      <c r="K175" s="15">
        <v>6</v>
      </c>
      <c r="L175" s="15" t="s">
        <v>268</v>
      </c>
      <c r="P175"/>
    </row>
    <row r="176" spans="2:17">
      <c r="B176"/>
      <c r="C176" s="306" t="s">
        <v>1529</v>
      </c>
      <c r="D176" s="97" t="s">
        <v>1383</v>
      </c>
      <c r="E176" s="46" t="s">
        <v>1886</v>
      </c>
      <c r="F176" s="46" t="s">
        <v>175</v>
      </c>
      <c r="G176" s="48" t="s">
        <v>1814</v>
      </c>
      <c r="H176" s="18" t="s">
        <v>1022</v>
      </c>
      <c r="I176" s="12">
        <v>12.3</v>
      </c>
      <c r="J176" s="12">
        <v>12.3</v>
      </c>
      <c r="K176" s="15">
        <v>6</v>
      </c>
      <c r="L176" s="15" t="s">
        <v>268</v>
      </c>
      <c r="P176"/>
    </row>
    <row r="177" spans="2:18">
      <c r="B177"/>
      <c r="C177" s="306" t="s">
        <v>1529</v>
      </c>
      <c r="D177" s="97" t="s">
        <v>1383</v>
      </c>
      <c r="E177" s="46" t="s">
        <v>1886</v>
      </c>
      <c r="F177" s="46" t="s">
        <v>175</v>
      </c>
      <c r="G177" s="48" t="s">
        <v>1814</v>
      </c>
      <c r="H177" s="18" t="s">
        <v>1815</v>
      </c>
      <c r="I177" s="12">
        <v>12.31</v>
      </c>
      <c r="J177" s="12">
        <v>12.31</v>
      </c>
      <c r="K177" s="15">
        <v>6</v>
      </c>
      <c r="L177" s="15" t="s">
        <v>268</v>
      </c>
      <c r="P177"/>
    </row>
    <row r="178" spans="2:18">
      <c r="B178"/>
      <c r="C178" s="306" t="s">
        <v>1529</v>
      </c>
      <c r="D178" s="97" t="s">
        <v>1383</v>
      </c>
      <c r="E178" s="46" t="s">
        <v>1886</v>
      </c>
      <c r="F178" s="46" t="s">
        <v>175</v>
      </c>
      <c r="G178" s="48" t="s">
        <v>1814</v>
      </c>
      <c r="H178" s="18" t="s">
        <v>1027</v>
      </c>
      <c r="I178" s="12">
        <v>12.8</v>
      </c>
      <c r="J178" s="12">
        <v>12.8</v>
      </c>
      <c r="K178" s="15">
        <v>6</v>
      </c>
      <c r="L178" s="15" t="s">
        <v>268</v>
      </c>
      <c r="P178"/>
    </row>
    <row r="179" spans="2:18">
      <c r="B179"/>
      <c r="C179" s="306" t="s">
        <v>1529</v>
      </c>
      <c r="D179" s="97" t="s">
        <v>1383</v>
      </c>
      <c r="E179" s="46" t="s">
        <v>1886</v>
      </c>
      <c r="F179" s="46" t="s">
        <v>1364</v>
      </c>
      <c r="G179" s="48" t="s">
        <v>908</v>
      </c>
      <c r="H179" s="18" t="s">
        <v>1028</v>
      </c>
      <c r="I179" s="12">
        <v>16.72</v>
      </c>
      <c r="J179" s="12">
        <v>16.72</v>
      </c>
      <c r="K179" s="15">
        <v>10</v>
      </c>
      <c r="L179" s="15" t="s">
        <v>268</v>
      </c>
      <c r="P179" s="2"/>
    </row>
    <row r="180" spans="2:18">
      <c r="B180"/>
      <c r="C180" s="306" t="s">
        <v>1529</v>
      </c>
      <c r="D180" s="97" t="s">
        <v>1383</v>
      </c>
      <c r="E180" s="46" t="s">
        <v>1886</v>
      </c>
      <c r="F180" s="46" t="s">
        <v>1364</v>
      </c>
      <c r="G180" s="48" t="s">
        <v>908</v>
      </c>
      <c r="H180" s="18" t="s">
        <v>1029</v>
      </c>
      <c r="I180" s="12">
        <v>17.07</v>
      </c>
      <c r="J180" s="12">
        <v>17.07</v>
      </c>
      <c r="K180" s="15">
        <v>10</v>
      </c>
      <c r="L180" s="15" t="s">
        <v>268</v>
      </c>
      <c r="P180"/>
    </row>
    <row r="181" spans="2:18">
      <c r="B181"/>
      <c r="C181" s="306" t="s">
        <v>1529</v>
      </c>
      <c r="D181" s="97" t="s">
        <v>1383</v>
      </c>
      <c r="E181" s="46" t="s">
        <v>1886</v>
      </c>
      <c r="F181" s="46" t="s">
        <v>175</v>
      </c>
      <c r="G181" s="48" t="s">
        <v>1814</v>
      </c>
      <c r="H181" s="18" t="s">
        <v>1030</v>
      </c>
      <c r="I181" s="12">
        <v>12.18</v>
      </c>
      <c r="J181" s="12">
        <v>12.18</v>
      </c>
      <c r="K181" s="15">
        <v>6</v>
      </c>
      <c r="L181" s="15" t="s">
        <v>268</v>
      </c>
      <c r="P181"/>
    </row>
    <row r="182" spans="2:18">
      <c r="B182"/>
      <c r="C182" s="306" t="s">
        <v>1529</v>
      </c>
      <c r="D182" s="97" t="s">
        <v>1383</v>
      </c>
      <c r="E182" s="46" t="s">
        <v>1886</v>
      </c>
      <c r="F182" s="46" t="s">
        <v>175</v>
      </c>
      <c r="G182" s="48" t="s">
        <v>1814</v>
      </c>
      <c r="H182" s="18" t="s">
        <v>1031</v>
      </c>
      <c r="I182" s="12">
        <v>12.17</v>
      </c>
      <c r="J182" s="12">
        <v>12.17</v>
      </c>
      <c r="K182" s="15">
        <v>6</v>
      </c>
      <c r="L182" s="15" t="s">
        <v>268</v>
      </c>
      <c r="P182"/>
    </row>
    <row r="183" spans="2:18">
      <c r="B183"/>
      <c r="C183" s="306" t="s">
        <v>1529</v>
      </c>
      <c r="D183" s="97" t="s">
        <v>1383</v>
      </c>
      <c r="E183" s="46" t="s">
        <v>1886</v>
      </c>
      <c r="F183" s="46" t="s">
        <v>175</v>
      </c>
      <c r="G183" s="48" t="s">
        <v>1814</v>
      </c>
      <c r="H183" s="18" t="s">
        <v>1032</v>
      </c>
      <c r="I183" s="12">
        <v>12.18</v>
      </c>
      <c r="J183" s="12">
        <v>12.18</v>
      </c>
      <c r="K183" s="15">
        <v>6</v>
      </c>
      <c r="L183" s="15" t="s">
        <v>268</v>
      </c>
      <c r="P183"/>
    </row>
    <row r="184" spans="2:18">
      <c r="B184"/>
      <c r="C184" s="306" t="s">
        <v>1529</v>
      </c>
      <c r="D184" s="97" t="s">
        <v>1383</v>
      </c>
      <c r="E184" s="46" t="s">
        <v>1886</v>
      </c>
      <c r="F184" s="46" t="s">
        <v>175</v>
      </c>
      <c r="G184" s="48" t="s">
        <v>1814</v>
      </c>
      <c r="H184" s="18" t="s">
        <v>1033</v>
      </c>
      <c r="I184" s="12">
        <v>12.67</v>
      </c>
      <c r="J184" s="12">
        <v>12.67</v>
      </c>
      <c r="K184" s="15">
        <v>6</v>
      </c>
      <c r="L184" s="15" t="s">
        <v>268</v>
      </c>
      <c r="P184"/>
    </row>
    <row r="185" spans="2:18">
      <c r="B185"/>
      <c r="C185" s="306" t="s">
        <v>1529</v>
      </c>
      <c r="D185" s="97" t="s">
        <v>1383</v>
      </c>
      <c r="E185" s="46" t="s">
        <v>1886</v>
      </c>
      <c r="F185" s="46" t="s">
        <v>175</v>
      </c>
      <c r="G185" s="48" t="s">
        <v>1816</v>
      </c>
      <c r="H185" s="18" t="s">
        <v>1609</v>
      </c>
      <c r="I185" s="12">
        <v>12.3</v>
      </c>
      <c r="J185" s="12">
        <v>12.3</v>
      </c>
      <c r="K185" s="15">
        <v>3</v>
      </c>
      <c r="L185" s="15" t="s">
        <v>268</v>
      </c>
      <c r="P185"/>
      <c r="R185" s="1"/>
    </row>
    <row r="186" spans="2:18">
      <c r="B186"/>
      <c r="C186" s="306" t="s">
        <v>1529</v>
      </c>
      <c r="D186" s="97" t="s">
        <v>1383</v>
      </c>
      <c r="E186" s="46" t="s">
        <v>1886</v>
      </c>
      <c r="F186" s="46" t="s">
        <v>175</v>
      </c>
      <c r="G186" s="48" t="s">
        <v>1817</v>
      </c>
      <c r="H186" s="18" t="s">
        <v>1035</v>
      </c>
      <c r="I186" s="12">
        <v>12.31</v>
      </c>
      <c r="J186" s="12">
        <v>12.31</v>
      </c>
      <c r="K186" s="15">
        <v>3</v>
      </c>
      <c r="L186" s="15" t="s">
        <v>268</v>
      </c>
      <c r="P186"/>
      <c r="R186" s="1"/>
    </row>
    <row r="187" spans="2:18">
      <c r="B187"/>
      <c r="C187" s="306" t="s">
        <v>1529</v>
      </c>
      <c r="D187" s="97" t="s">
        <v>1383</v>
      </c>
      <c r="E187" s="46" t="s">
        <v>1886</v>
      </c>
      <c r="F187" s="46" t="s">
        <v>175</v>
      </c>
      <c r="G187" s="48" t="s">
        <v>1814</v>
      </c>
      <c r="H187" s="18" t="s">
        <v>1610</v>
      </c>
      <c r="I187" s="12">
        <v>12.3</v>
      </c>
      <c r="J187" s="12">
        <v>12.3</v>
      </c>
      <c r="K187" s="15">
        <v>6</v>
      </c>
      <c r="L187" s="15" t="s">
        <v>268</v>
      </c>
      <c r="P187"/>
      <c r="Q187" s="2"/>
    </row>
    <row r="188" spans="2:18">
      <c r="B188"/>
      <c r="C188" s="306" t="s">
        <v>1529</v>
      </c>
      <c r="D188" s="97" t="s">
        <v>1383</v>
      </c>
      <c r="E188" s="46" t="s">
        <v>1886</v>
      </c>
      <c r="F188" s="46" t="s">
        <v>175</v>
      </c>
      <c r="G188" s="48" t="s">
        <v>1814</v>
      </c>
      <c r="H188" s="18" t="s">
        <v>1036</v>
      </c>
      <c r="I188" s="12">
        <v>12.06</v>
      </c>
      <c r="J188" s="12">
        <v>12.06</v>
      </c>
      <c r="K188" s="15">
        <v>6</v>
      </c>
      <c r="L188" s="15" t="s">
        <v>268</v>
      </c>
      <c r="P188"/>
      <c r="Q188" s="2"/>
    </row>
    <row r="189" spans="2:18">
      <c r="B189"/>
      <c r="C189" s="306" t="s">
        <v>1529</v>
      </c>
      <c r="D189" s="97" t="s">
        <v>1383</v>
      </c>
      <c r="E189" s="46" t="s">
        <v>1886</v>
      </c>
      <c r="F189" s="46" t="s">
        <v>1364</v>
      </c>
      <c r="G189" s="48" t="s">
        <v>908</v>
      </c>
      <c r="H189" s="18" t="s">
        <v>1034</v>
      </c>
      <c r="I189" s="12">
        <v>16.829999999999998</v>
      </c>
      <c r="J189" s="12">
        <v>16.829999999999998</v>
      </c>
      <c r="K189" s="15">
        <v>10</v>
      </c>
      <c r="L189" s="15" t="s">
        <v>268</v>
      </c>
      <c r="P189"/>
    </row>
    <row r="190" spans="2:18">
      <c r="B190"/>
      <c r="C190" s="306" t="s">
        <v>1529</v>
      </c>
      <c r="D190" s="97" t="s">
        <v>1383</v>
      </c>
      <c r="E190" s="46" t="s">
        <v>1886</v>
      </c>
      <c r="F190" s="46" t="s">
        <v>1364</v>
      </c>
      <c r="G190" s="48" t="s">
        <v>908</v>
      </c>
      <c r="H190" s="18" t="s">
        <v>1818</v>
      </c>
      <c r="I190" s="12">
        <v>16.57</v>
      </c>
      <c r="J190" s="12">
        <v>16.57</v>
      </c>
      <c r="K190" s="15">
        <v>10</v>
      </c>
      <c r="L190" s="15" t="s">
        <v>268</v>
      </c>
      <c r="P190"/>
      <c r="Q190" s="2"/>
    </row>
    <row r="191" spans="2:18">
      <c r="B191"/>
      <c r="C191" s="306" t="s">
        <v>1529</v>
      </c>
      <c r="D191" s="97" t="s">
        <v>1383</v>
      </c>
      <c r="E191" s="46" t="s">
        <v>1886</v>
      </c>
      <c r="F191" s="46" t="s">
        <v>175</v>
      </c>
      <c r="G191" s="48" t="s">
        <v>1814</v>
      </c>
      <c r="H191" s="18" t="s">
        <v>1819</v>
      </c>
      <c r="I191" s="12">
        <v>12.18</v>
      </c>
      <c r="J191" s="12">
        <v>12.18</v>
      </c>
      <c r="K191" s="15">
        <v>6</v>
      </c>
      <c r="L191" s="15" t="s">
        <v>268</v>
      </c>
      <c r="P191"/>
      <c r="Q191" s="2"/>
    </row>
    <row r="192" spans="2:18">
      <c r="B192"/>
      <c r="C192" s="306" t="s">
        <v>1529</v>
      </c>
      <c r="D192" s="97" t="s">
        <v>1383</v>
      </c>
      <c r="E192" s="46" t="s">
        <v>1886</v>
      </c>
      <c r="F192" s="46" t="s">
        <v>175</v>
      </c>
      <c r="G192" s="48" t="s">
        <v>1814</v>
      </c>
      <c r="H192" s="18" t="s">
        <v>1820</v>
      </c>
      <c r="I192" s="12">
        <v>12.18</v>
      </c>
      <c r="J192" s="12">
        <v>12.18</v>
      </c>
      <c r="K192" s="15">
        <v>6</v>
      </c>
      <c r="L192" s="15" t="s">
        <v>268</v>
      </c>
      <c r="P192"/>
    </row>
    <row r="193" spans="2:17">
      <c r="B193"/>
      <c r="C193" s="306" t="s">
        <v>1529</v>
      </c>
      <c r="D193" s="97" t="s">
        <v>1383</v>
      </c>
      <c r="E193" s="46" t="s">
        <v>1886</v>
      </c>
      <c r="F193" s="46" t="s">
        <v>175</v>
      </c>
      <c r="G193" s="48" t="s">
        <v>211</v>
      </c>
      <c r="H193" s="18" t="s">
        <v>1821</v>
      </c>
      <c r="I193" s="12">
        <v>9.32</v>
      </c>
      <c r="J193" s="12">
        <v>9.32</v>
      </c>
      <c r="K193" s="15">
        <v>0</v>
      </c>
      <c r="L193" s="15" t="s">
        <v>268</v>
      </c>
      <c r="P193"/>
    </row>
    <row r="194" spans="2:17">
      <c r="B194"/>
      <c r="C194" s="306" t="s">
        <v>1529</v>
      </c>
      <c r="D194" s="97" t="s">
        <v>1383</v>
      </c>
      <c r="E194" s="46" t="s">
        <v>1886</v>
      </c>
      <c r="F194" s="46" t="s">
        <v>175</v>
      </c>
      <c r="G194" s="48" t="s">
        <v>1822</v>
      </c>
      <c r="H194" s="18" t="s">
        <v>1823</v>
      </c>
      <c r="I194" s="12">
        <v>16.66</v>
      </c>
      <c r="J194" s="12">
        <v>16.66</v>
      </c>
      <c r="K194" s="15">
        <v>2</v>
      </c>
      <c r="L194" s="15" t="s">
        <v>268</v>
      </c>
      <c r="P194"/>
    </row>
    <row r="195" spans="2:17">
      <c r="B195"/>
      <c r="C195" s="306" t="s">
        <v>1529</v>
      </c>
      <c r="D195" s="97" t="s">
        <v>1383</v>
      </c>
      <c r="E195" s="97"/>
      <c r="F195" s="44" t="s">
        <v>192</v>
      </c>
      <c r="G195" s="48" t="s">
        <v>1824</v>
      </c>
      <c r="I195" s="12">
        <v>3.44</v>
      </c>
      <c r="J195" s="12">
        <v>3.44</v>
      </c>
      <c r="L195" s="15" t="s">
        <v>572</v>
      </c>
      <c r="P195"/>
    </row>
    <row r="196" spans="2:17" ht="15" customHeight="1">
      <c r="B196"/>
      <c r="C196" s="306" t="s">
        <v>1529</v>
      </c>
      <c r="D196" s="97" t="s">
        <v>1383</v>
      </c>
      <c r="E196" s="97"/>
      <c r="F196" s="44" t="s">
        <v>192</v>
      </c>
      <c r="G196" s="48" t="s">
        <v>1825</v>
      </c>
      <c r="I196" s="12">
        <v>2.78</v>
      </c>
      <c r="J196" s="12">
        <v>2.78</v>
      </c>
      <c r="L196" s="15" t="s">
        <v>572</v>
      </c>
      <c r="P196"/>
    </row>
    <row r="197" spans="2:17" ht="15" customHeight="1">
      <c r="B197"/>
      <c r="C197" s="306" t="s">
        <v>1529</v>
      </c>
      <c r="D197" s="97" t="s">
        <v>1383</v>
      </c>
      <c r="E197" s="97"/>
      <c r="F197" s="44" t="s">
        <v>192</v>
      </c>
      <c r="G197" s="48" t="s">
        <v>1826</v>
      </c>
      <c r="I197" s="12">
        <v>2.72</v>
      </c>
      <c r="J197" s="12">
        <v>2.72</v>
      </c>
      <c r="L197" s="15" t="s">
        <v>572</v>
      </c>
      <c r="P197"/>
    </row>
    <row r="198" spans="2:17">
      <c r="B198"/>
      <c r="C198" s="306" t="s">
        <v>1529</v>
      </c>
      <c r="D198" s="97" t="s">
        <v>1383</v>
      </c>
      <c r="E198" s="97"/>
      <c r="F198" s="44" t="s">
        <v>192</v>
      </c>
      <c r="G198" s="48" t="s">
        <v>1827</v>
      </c>
      <c r="I198" s="12">
        <v>15.55</v>
      </c>
      <c r="J198" s="12">
        <v>15.55</v>
      </c>
      <c r="L198" s="15" t="s">
        <v>572</v>
      </c>
      <c r="P198"/>
    </row>
    <row r="199" spans="2:17">
      <c r="B199"/>
      <c r="C199" s="306" t="s">
        <v>1529</v>
      </c>
      <c r="D199" s="97" t="s">
        <v>1383</v>
      </c>
      <c r="E199" s="97"/>
      <c r="F199" s="44" t="s">
        <v>192</v>
      </c>
      <c r="G199" s="48" t="s">
        <v>1828</v>
      </c>
      <c r="I199" s="12">
        <v>15.9</v>
      </c>
      <c r="J199" s="12">
        <v>15.9</v>
      </c>
      <c r="L199" s="15" t="s">
        <v>572</v>
      </c>
      <c r="P199"/>
    </row>
    <row r="200" spans="2:17">
      <c r="B200"/>
      <c r="C200" s="306" t="s">
        <v>1529</v>
      </c>
      <c r="D200" s="97" t="s">
        <v>1383</v>
      </c>
      <c r="E200" s="97"/>
      <c r="F200" s="44" t="s">
        <v>192</v>
      </c>
      <c r="G200" s="48" t="s">
        <v>1829</v>
      </c>
      <c r="I200" s="12">
        <v>10.119999999999999</v>
      </c>
      <c r="J200" s="12">
        <v>10.119999999999999</v>
      </c>
      <c r="L200" s="15" t="s">
        <v>572</v>
      </c>
      <c r="P200"/>
      <c r="Q200" s="2"/>
    </row>
    <row r="201" spans="2:17">
      <c r="B201"/>
      <c r="C201" s="306" t="s">
        <v>1529</v>
      </c>
      <c r="D201" s="97" t="s">
        <v>1383</v>
      </c>
      <c r="E201" s="97"/>
      <c r="F201" s="44" t="s">
        <v>192</v>
      </c>
      <c r="G201" s="48" t="s">
        <v>1830</v>
      </c>
      <c r="I201" s="12">
        <v>6.67</v>
      </c>
      <c r="J201" s="12">
        <v>6.67</v>
      </c>
      <c r="L201" s="15" t="s">
        <v>572</v>
      </c>
      <c r="P201"/>
    </row>
    <row r="202" spans="2:17">
      <c r="B202"/>
      <c r="C202" s="306" t="s">
        <v>1529</v>
      </c>
      <c r="D202" s="97" t="s">
        <v>1383</v>
      </c>
      <c r="E202" s="97"/>
      <c r="F202" s="44" t="s">
        <v>192</v>
      </c>
      <c r="G202" s="48" t="s">
        <v>1831</v>
      </c>
      <c r="I202" s="12">
        <v>7.02</v>
      </c>
      <c r="J202" s="12">
        <v>7.02</v>
      </c>
      <c r="L202" s="15" t="s">
        <v>572</v>
      </c>
      <c r="P202"/>
      <c r="Q202" s="2"/>
    </row>
    <row r="203" spans="2:17">
      <c r="B203"/>
      <c r="C203" s="306" t="s">
        <v>1529</v>
      </c>
      <c r="D203" s="97" t="s">
        <v>1383</v>
      </c>
      <c r="E203" s="97"/>
      <c r="F203" s="44" t="s">
        <v>194</v>
      </c>
      <c r="G203" s="48" t="s">
        <v>194</v>
      </c>
      <c r="I203" s="12">
        <v>187.44</v>
      </c>
      <c r="J203" s="12">
        <v>187.44</v>
      </c>
      <c r="L203" s="15" t="s">
        <v>268</v>
      </c>
      <c r="P203"/>
      <c r="Q203" s="2"/>
    </row>
    <row r="204" spans="2:17">
      <c r="B204"/>
      <c r="C204" s="306" t="s">
        <v>1529</v>
      </c>
      <c r="D204" s="99" t="s">
        <v>1855</v>
      </c>
      <c r="E204" s="99"/>
      <c r="F204" s="46" t="s">
        <v>355</v>
      </c>
      <c r="G204" s="48" t="s">
        <v>217</v>
      </c>
      <c r="I204" s="12">
        <v>19.72</v>
      </c>
      <c r="J204" s="12">
        <v>19.93</v>
      </c>
      <c r="L204" s="15" t="s">
        <v>268</v>
      </c>
      <c r="P204"/>
      <c r="Q204" s="2"/>
    </row>
    <row r="205" spans="2:17">
      <c r="B205"/>
      <c r="C205" s="306" t="s">
        <v>1529</v>
      </c>
      <c r="D205" s="99" t="s">
        <v>1855</v>
      </c>
      <c r="E205" s="99"/>
      <c r="F205" s="46" t="s">
        <v>355</v>
      </c>
      <c r="G205" s="48" t="s">
        <v>233</v>
      </c>
      <c r="I205" s="12">
        <v>7.61</v>
      </c>
      <c r="J205" s="12">
        <v>7.64</v>
      </c>
      <c r="L205" s="15" t="s">
        <v>268</v>
      </c>
      <c r="P205"/>
      <c r="Q205" s="2"/>
    </row>
    <row r="206" spans="2:17">
      <c r="B206"/>
      <c r="C206" s="306" t="s">
        <v>1529</v>
      </c>
      <c r="D206" s="99" t="s">
        <v>1855</v>
      </c>
      <c r="E206" s="46" t="s">
        <v>1886</v>
      </c>
      <c r="F206" s="44" t="s">
        <v>1364</v>
      </c>
      <c r="G206" s="48" t="s">
        <v>908</v>
      </c>
      <c r="H206" s="18" t="s">
        <v>1832</v>
      </c>
      <c r="I206" s="12">
        <v>24.27</v>
      </c>
      <c r="J206" s="12">
        <v>23.76</v>
      </c>
      <c r="K206" s="15">
        <v>10</v>
      </c>
      <c r="L206" s="15" t="s">
        <v>268</v>
      </c>
      <c r="P206"/>
    </row>
    <row r="207" spans="2:17">
      <c r="B207"/>
      <c r="C207" s="306" t="s">
        <v>1529</v>
      </c>
      <c r="D207" s="99" t="s">
        <v>1855</v>
      </c>
      <c r="E207" s="46" t="s">
        <v>1886</v>
      </c>
      <c r="F207" s="44" t="s">
        <v>208</v>
      </c>
      <c r="G207" s="48" t="s">
        <v>1833</v>
      </c>
      <c r="H207" s="18" t="s">
        <v>1834</v>
      </c>
      <c r="I207" s="12">
        <v>16.63</v>
      </c>
      <c r="J207" s="12">
        <v>16.41</v>
      </c>
      <c r="K207" s="15">
        <v>3</v>
      </c>
      <c r="L207" s="15" t="s">
        <v>268</v>
      </c>
      <c r="P207"/>
    </row>
    <row r="208" spans="2:17">
      <c r="B208"/>
      <c r="C208" s="306" t="s">
        <v>1529</v>
      </c>
      <c r="D208" s="99" t="s">
        <v>1855</v>
      </c>
      <c r="E208" s="46" t="s">
        <v>1886</v>
      </c>
      <c r="F208" s="44" t="s">
        <v>208</v>
      </c>
      <c r="G208" s="48" t="s">
        <v>1835</v>
      </c>
      <c r="H208" s="18" t="s">
        <v>1836</v>
      </c>
      <c r="I208" s="12">
        <v>16.64</v>
      </c>
      <c r="J208" s="12">
        <v>16.64</v>
      </c>
      <c r="K208" s="15">
        <v>3</v>
      </c>
      <c r="L208" s="15" t="s">
        <v>268</v>
      </c>
      <c r="P208"/>
    </row>
    <row r="209" spans="2:16">
      <c r="B209"/>
      <c r="C209" s="306" t="s">
        <v>1529</v>
      </c>
      <c r="D209" s="99" t="s">
        <v>1855</v>
      </c>
      <c r="E209" s="46" t="s">
        <v>1886</v>
      </c>
      <c r="F209" s="44" t="s">
        <v>208</v>
      </c>
      <c r="G209" s="48" t="s">
        <v>1837</v>
      </c>
      <c r="H209" s="18" t="s">
        <v>1838</v>
      </c>
      <c r="I209" s="12">
        <v>16.57</v>
      </c>
      <c r="J209" s="12">
        <v>15.97</v>
      </c>
      <c r="K209" s="15">
        <v>3</v>
      </c>
      <c r="L209" s="15" t="s">
        <v>268</v>
      </c>
      <c r="P209"/>
    </row>
    <row r="210" spans="2:16">
      <c r="B210"/>
      <c r="C210" s="306" t="s">
        <v>1529</v>
      </c>
      <c r="D210" s="99" t="s">
        <v>1855</v>
      </c>
      <c r="E210" s="46" t="s">
        <v>1886</v>
      </c>
      <c r="F210" s="44" t="s">
        <v>208</v>
      </c>
      <c r="G210" s="48" t="s">
        <v>1839</v>
      </c>
      <c r="H210" s="18" t="s">
        <v>1840</v>
      </c>
      <c r="I210" s="12">
        <v>16.29</v>
      </c>
      <c r="J210" s="12">
        <v>16.43</v>
      </c>
      <c r="K210" s="15">
        <v>3</v>
      </c>
      <c r="L210" s="15" t="s">
        <v>268</v>
      </c>
      <c r="P210"/>
    </row>
    <row r="211" spans="2:16">
      <c r="B211"/>
      <c r="C211" s="306" t="s">
        <v>1529</v>
      </c>
      <c r="D211" s="99" t="s">
        <v>1855</v>
      </c>
      <c r="E211" s="46" t="s">
        <v>1886</v>
      </c>
      <c r="F211" s="44" t="s">
        <v>208</v>
      </c>
      <c r="G211" s="48" t="s">
        <v>1841</v>
      </c>
      <c r="H211" s="18" t="s">
        <v>1842</v>
      </c>
      <c r="I211" s="12">
        <v>16.79</v>
      </c>
      <c r="J211" s="12">
        <v>16.78</v>
      </c>
      <c r="K211" s="15">
        <v>3</v>
      </c>
      <c r="L211" s="15" t="s">
        <v>268</v>
      </c>
      <c r="P211"/>
    </row>
    <row r="212" spans="2:16">
      <c r="B212"/>
      <c r="C212" s="306" t="s">
        <v>1529</v>
      </c>
      <c r="D212" s="99" t="s">
        <v>1855</v>
      </c>
      <c r="E212" s="46" t="s">
        <v>1886</v>
      </c>
      <c r="F212" s="44" t="s">
        <v>208</v>
      </c>
      <c r="G212" s="48" t="s">
        <v>1843</v>
      </c>
      <c r="H212" s="18" t="s">
        <v>1844</v>
      </c>
      <c r="I212" s="12">
        <v>16.61</v>
      </c>
      <c r="J212" s="12">
        <v>16.54</v>
      </c>
      <c r="K212" s="15">
        <v>3</v>
      </c>
      <c r="L212" s="15" t="s">
        <v>268</v>
      </c>
      <c r="P212"/>
    </row>
    <row r="213" spans="2:16">
      <c r="B213"/>
      <c r="C213" s="306" t="s">
        <v>1529</v>
      </c>
      <c r="D213" s="99" t="s">
        <v>1855</v>
      </c>
      <c r="E213" s="46" t="s">
        <v>1886</v>
      </c>
      <c r="F213" s="44" t="s">
        <v>208</v>
      </c>
      <c r="G213" s="48" t="s">
        <v>1845</v>
      </c>
      <c r="H213" s="18" t="s">
        <v>1846</v>
      </c>
      <c r="I213" s="12">
        <v>9.66</v>
      </c>
      <c r="J213" s="12">
        <v>9.64</v>
      </c>
      <c r="K213" s="15">
        <v>2</v>
      </c>
      <c r="L213" s="15" t="s">
        <v>268</v>
      </c>
      <c r="P213"/>
    </row>
    <row r="214" spans="2:16">
      <c r="B214"/>
      <c r="C214" s="306" t="s">
        <v>1529</v>
      </c>
      <c r="D214" s="99" t="s">
        <v>1855</v>
      </c>
      <c r="E214" s="46" t="s">
        <v>1886</v>
      </c>
      <c r="F214" s="46" t="s">
        <v>248</v>
      </c>
      <c r="G214" s="48" t="s">
        <v>366</v>
      </c>
      <c r="H214" s="18" t="s">
        <v>1847</v>
      </c>
      <c r="I214" s="12">
        <v>37.409999999999997</v>
      </c>
      <c r="J214" s="12">
        <v>37.42</v>
      </c>
      <c r="K214" s="15">
        <v>25</v>
      </c>
      <c r="L214" s="15" t="s">
        <v>268</v>
      </c>
      <c r="P214"/>
    </row>
    <row r="215" spans="2:16">
      <c r="B215"/>
      <c r="C215" s="306" t="s">
        <v>1529</v>
      </c>
      <c r="D215" s="99" t="s">
        <v>1855</v>
      </c>
      <c r="E215" s="46" t="s">
        <v>1886</v>
      </c>
      <c r="F215" s="46" t="s">
        <v>248</v>
      </c>
      <c r="G215" s="48" t="s">
        <v>366</v>
      </c>
      <c r="H215" s="18" t="s">
        <v>1848</v>
      </c>
      <c r="I215" s="12">
        <v>37.97</v>
      </c>
      <c r="J215" s="12">
        <v>37.979999999999997</v>
      </c>
      <c r="K215" s="15">
        <v>25</v>
      </c>
      <c r="L215" s="15" t="s">
        <v>268</v>
      </c>
      <c r="P215"/>
    </row>
    <row r="216" spans="2:16">
      <c r="B216"/>
      <c r="C216" s="306" t="s">
        <v>1529</v>
      </c>
      <c r="D216" s="99" t="s">
        <v>1855</v>
      </c>
      <c r="E216" s="46" t="s">
        <v>1886</v>
      </c>
      <c r="F216" s="46" t="s">
        <v>248</v>
      </c>
      <c r="G216" s="48" t="s">
        <v>366</v>
      </c>
      <c r="H216" s="18" t="s">
        <v>1849</v>
      </c>
      <c r="I216" s="12">
        <v>37.28</v>
      </c>
      <c r="J216" s="12">
        <v>37.28</v>
      </c>
      <c r="K216" s="15">
        <v>25</v>
      </c>
      <c r="L216" s="15" t="s">
        <v>268</v>
      </c>
      <c r="P216"/>
    </row>
    <row r="217" spans="2:16">
      <c r="B217"/>
      <c r="C217" s="306" t="s">
        <v>1529</v>
      </c>
      <c r="D217" s="99" t="s">
        <v>1855</v>
      </c>
      <c r="E217" s="46" t="s">
        <v>1886</v>
      </c>
      <c r="F217" s="46" t="s">
        <v>248</v>
      </c>
      <c r="G217" s="48" t="s">
        <v>366</v>
      </c>
      <c r="H217" s="18" t="s">
        <v>1850</v>
      </c>
      <c r="I217" s="12">
        <v>37.840000000000003</v>
      </c>
      <c r="J217" s="12">
        <v>37.85</v>
      </c>
      <c r="K217" s="15">
        <v>25</v>
      </c>
      <c r="L217" s="15" t="s">
        <v>268</v>
      </c>
      <c r="P217"/>
    </row>
    <row r="218" spans="2:16">
      <c r="B218"/>
      <c r="C218" s="306" t="s">
        <v>1529</v>
      </c>
      <c r="D218" s="99" t="s">
        <v>1855</v>
      </c>
      <c r="E218" s="46" t="s">
        <v>1886</v>
      </c>
      <c r="F218" s="46" t="s">
        <v>248</v>
      </c>
      <c r="G218" s="48" t="s">
        <v>366</v>
      </c>
      <c r="H218" s="18" t="s">
        <v>1851</v>
      </c>
      <c r="I218" s="12">
        <v>85.58</v>
      </c>
      <c r="J218" s="12">
        <v>85.48</v>
      </c>
      <c r="K218" s="15">
        <v>50</v>
      </c>
      <c r="L218" s="15" t="s">
        <v>268</v>
      </c>
      <c r="P218"/>
    </row>
    <row r="219" spans="2:16">
      <c r="B219"/>
      <c r="C219" s="306" t="s">
        <v>1529</v>
      </c>
      <c r="D219" s="99" t="s">
        <v>1855</v>
      </c>
      <c r="E219" s="46" t="s">
        <v>1886</v>
      </c>
      <c r="F219" s="46" t="s">
        <v>248</v>
      </c>
      <c r="G219" s="48" t="s">
        <v>366</v>
      </c>
      <c r="H219" s="18" t="s">
        <v>1852</v>
      </c>
      <c r="I219" s="12">
        <v>85.95</v>
      </c>
      <c r="J219" s="12">
        <v>85.95</v>
      </c>
      <c r="K219" s="15">
        <v>50</v>
      </c>
      <c r="L219" s="15" t="s">
        <v>268</v>
      </c>
      <c r="P219"/>
    </row>
    <row r="220" spans="2:16">
      <c r="B220"/>
      <c r="C220" s="306" t="s">
        <v>1529</v>
      </c>
      <c r="D220" s="99" t="s">
        <v>1855</v>
      </c>
      <c r="E220" s="46" t="s">
        <v>1886</v>
      </c>
      <c r="F220" s="46" t="s">
        <v>248</v>
      </c>
      <c r="G220" s="48" t="s">
        <v>366</v>
      </c>
      <c r="H220" s="18" t="s">
        <v>1853</v>
      </c>
      <c r="I220" s="12">
        <v>84.59</v>
      </c>
      <c r="J220" s="12">
        <v>84.78</v>
      </c>
      <c r="K220" s="15">
        <v>50</v>
      </c>
      <c r="L220" s="15" t="s">
        <v>268</v>
      </c>
      <c r="P220"/>
    </row>
    <row r="221" spans="2:16">
      <c r="B221"/>
      <c r="C221" s="306" t="s">
        <v>1529</v>
      </c>
      <c r="D221" s="99" t="s">
        <v>1855</v>
      </c>
      <c r="E221" s="46" t="s">
        <v>1886</v>
      </c>
      <c r="F221" s="46" t="s">
        <v>248</v>
      </c>
      <c r="G221" s="48" t="s">
        <v>366</v>
      </c>
      <c r="H221" s="18" t="s">
        <v>1854</v>
      </c>
      <c r="I221" s="12">
        <v>84.73</v>
      </c>
      <c r="J221" s="12">
        <v>84.73</v>
      </c>
      <c r="K221" s="15">
        <v>50</v>
      </c>
      <c r="L221" s="15" t="s">
        <v>268</v>
      </c>
      <c r="P221"/>
    </row>
    <row r="222" spans="2:16">
      <c r="B222"/>
      <c r="C222" s="306" t="s">
        <v>1529</v>
      </c>
      <c r="D222" s="99" t="s">
        <v>1855</v>
      </c>
      <c r="E222" s="99"/>
      <c r="F222" s="44" t="s">
        <v>194</v>
      </c>
      <c r="G222" s="48" t="s">
        <v>194</v>
      </c>
      <c r="I222" s="12">
        <v>166.97</v>
      </c>
      <c r="J222" s="12">
        <v>155.54</v>
      </c>
      <c r="L222" s="15" t="s">
        <v>268</v>
      </c>
      <c r="P222"/>
    </row>
    <row r="223" spans="2:16">
      <c r="B223"/>
      <c r="C223" s="306" t="s">
        <v>1529</v>
      </c>
      <c r="D223" s="99" t="s">
        <v>1855</v>
      </c>
      <c r="E223" s="99"/>
      <c r="F223" s="44" t="s">
        <v>194</v>
      </c>
      <c r="G223" s="48" t="s">
        <v>218</v>
      </c>
      <c r="I223" s="12">
        <v>16.41</v>
      </c>
      <c r="J223" s="12">
        <v>16.39</v>
      </c>
      <c r="L223" s="15" t="s">
        <v>268</v>
      </c>
      <c r="P223"/>
    </row>
    <row r="224" spans="2:16">
      <c r="B224"/>
      <c r="C224" s="306" t="s">
        <v>1529</v>
      </c>
      <c r="D224" s="99" t="s">
        <v>1855</v>
      </c>
      <c r="E224" s="99"/>
      <c r="F224" s="44" t="s">
        <v>192</v>
      </c>
      <c r="G224" s="48" t="s">
        <v>1827</v>
      </c>
      <c r="I224" s="12">
        <v>15.66</v>
      </c>
      <c r="J224" s="12">
        <v>16.07</v>
      </c>
      <c r="L224" s="15" t="s">
        <v>572</v>
      </c>
      <c r="P224"/>
    </row>
    <row r="225" spans="1:17">
      <c r="B225"/>
      <c r="C225" s="306" t="s">
        <v>1529</v>
      </c>
      <c r="D225" s="99" t="s">
        <v>1855</v>
      </c>
      <c r="E225" s="99"/>
      <c r="F225" s="44" t="s">
        <v>192</v>
      </c>
      <c r="G225" s="48" t="s">
        <v>1828</v>
      </c>
      <c r="I225" s="12">
        <v>15.9</v>
      </c>
      <c r="J225" s="12">
        <v>15.93</v>
      </c>
      <c r="L225" s="15" t="s">
        <v>572</v>
      </c>
      <c r="P225"/>
    </row>
    <row r="226" spans="1:17">
      <c r="B226"/>
      <c r="C226" s="306" t="s">
        <v>1529</v>
      </c>
      <c r="D226" s="99" t="s">
        <v>1855</v>
      </c>
      <c r="E226" s="99"/>
      <c r="F226" s="44" t="s">
        <v>192</v>
      </c>
      <c r="G226" s="48" t="s">
        <v>27</v>
      </c>
      <c r="I226" s="12">
        <v>5.85</v>
      </c>
      <c r="J226" s="12">
        <v>5.8</v>
      </c>
      <c r="L226" s="15" t="s">
        <v>572</v>
      </c>
      <c r="P226"/>
    </row>
    <row r="227" spans="1:17">
      <c r="B227"/>
      <c r="C227" s="306" t="s">
        <v>1529</v>
      </c>
      <c r="D227" s="99" t="s">
        <v>1855</v>
      </c>
      <c r="E227" s="99"/>
      <c r="F227" s="44" t="s">
        <v>192</v>
      </c>
      <c r="G227" s="48" t="s">
        <v>1830</v>
      </c>
      <c r="I227" s="12">
        <v>6.74</v>
      </c>
      <c r="J227" s="12">
        <v>6.62</v>
      </c>
      <c r="L227" s="15" t="s">
        <v>572</v>
      </c>
      <c r="P227"/>
    </row>
    <row r="228" spans="1:17">
      <c r="B228"/>
      <c r="C228" s="306" t="s">
        <v>1529</v>
      </c>
      <c r="D228" s="99" t="s">
        <v>1855</v>
      </c>
      <c r="E228" s="99"/>
      <c r="F228" s="44" t="s">
        <v>192</v>
      </c>
      <c r="G228" s="48" t="s">
        <v>1831</v>
      </c>
      <c r="I228" s="12">
        <v>7.1</v>
      </c>
      <c r="J228" s="12">
        <v>7.3</v>
      </c>
      <c r="L228" s="15" t="s">
        <v>572</v>
      </c>
      <c r="P228"/>
    </row>
    <row r="229" spans="1:17">
      <c r="B229"/>
      <c r="C229" s="306" t="s">
        <v>1529</v>
      </c>
      <c r="D229" s="48" t="s">
        <v>909</v>
      </c>
      <c r="F229" s="264" t="s">
        <v>524</v>
      </c>
      <c r="G229" s="48" t="s">
        <v>524</v>
      </c>
      <c r="I229" s="12">
        <f>11.86+10.24*2+6.3+10.41*2</f>
        <v>59.46</v>
      </c>
      <c r="J229" s="12">
        <f>11.86+10.24*2+6.3+10.41*2</f>
        <v>59.46</v>
      </c>
      <c r="L229" s="15" t="s">
        <v>268</v>
      </c>
      <c r="M229" s="265"/>
      <c r="P229"/>
      <c r="Q229">
        <f>SUM(J135:J142)</f>
        <v>183.55</v>
      </c>
    </row>
    <row r="230" spans="1:17">
      <c r="B230"/>
      <c r="C230" s="306"/>
      <c r="F230" s="264"/>
      <c r="I230" s="12"/>
      <c r="M230" s="265"/>
      <c r="P230"/>
    </row>
    <row r="231" spans="1:17">
      <c r="B231"/>
      <c r="C231" s="306"/>
      <c r="F231" s="264"/>
      <c r="I231" s="12"/>
      <c r="M231" s="265"/>
      <c r="P231"/>
    </row>
    <row r="232" spans="1:17">
      <c r="B232"/>
      <c r="C232" s="306"/>
      <c r="F232" s="264"/>
      <c r="I232" s="103"/>
      <c r="M232" s="265"/>
      <c r="P232"/>
    </row>
    <row r="233" spans="1:17">
      <c r="A233">
        <f>SUM(I157:I233)</f>
        <v>1756.6699999999998</v>
      </c>
      <c r="B233"/>
      <c r="C233" s="306"/>
      <c r="F233" s="264"/>
      <c r="G233" s="96"/>
      <c r="I233" s="103"/>
      <c r="M233" s="265"/>
      <c r="P233"/>
    </row>
    <row r="234" spans="1:17">
      <c r="B234"/>
      <c r="C234" s="306"/>
      <c r="E234" s="211"/>
      <c r="F234" s="100"/>
      <c r="G234" s="101"/>
      <c r="I234" s="102"/>
      <c r="P234"/>
    </row>
    <row r="235" spans="1:17">
      <c r="B235"/>
      <c r="C235" s="306"/>
      <c r="D235" s="97"/>
      <c r="E235" s="97"/>
      <c r="P235"/>
    </row>
    <row r="236" spans="1:17">
      <c r="B236"/>
      <c r="C236" s="306"/>
      <c r="P236"/>
    </row>
    <row r="237" spans="1:17">
      <c r="B237"/>
      <c r="C237" s="306"/>
      <c r="P237"/>
    </row>
    <row r="238" spans="1:17">
      <c r="B238"/>
      <c r="C238" s="306"/>
      <c r="P238"/>
    </row>
    <row r="239" spans="1:17">
      <c r="B239"/>
      <c r="C239" s="306"/>
      <c r="P239"/>
    </row>
    <row r="240" spans="1:17">
      <c r="B240"/>
      <c r="C240" s="306"/>
      <c r="P240"/>
      <c r="Q240" s="2">
        <f>J143</f>
        <v>78</v>
      </c>
    </row>
    <row r="241" spans="2:17">
      <c r="B241"/>
      <c r="C241" s="306"/>
    </row>
    <row r="242" spans="2:17">
      <c r="B242"/>
      <c r="C242" s="306"/>
    </row>
    <row r="243" spans="2:17">
      <c r="B243"/>
      <c r="C243" s="306"/>
      <c r="H243" s="15"/>
    </row>
    <row r="244" spans="2:17">
      <c r="B244"/>
      <c r="C244" s="306"/>
    </row>
    <row r="245" spans="2:17">
      <c r="B245"/>
      <c r="C245" s="306"/>
    </row>
    <row r="246" spans="2:17">
      <c r="B246"/>
      <c r="C246" s="306"/>
      <c r="Q246" s="2">
        <f>SUM(Q4:Q240)</f>
        <v>22461.149999999991</v>
      </c>
    </row>
    <row r="247" spans="2:17">
      <c r="C247" s="306"/>
    </row>
    <row r="248" spans="2:17">
      <c r="C248" s="306"/>
    </row>
    <row r="249" spans="2:17">
      <c r="C249" s="306"/>
      <c r="D249" s="49"/>
      <c r="E249" s="49"/>
      <c r="F249" s="49"/>
    </row>
  </sheetData>
  <autoFilter ref="C1:O249" xr:uid="{D6F6A301-68F9-4F2A-A1B1-8286E795697F}"/>
  <mergeCells count="2">
    <mergeCell ref="L2:N2"/>
    <mergeCell ref="G2:I2"/>
  </mergeCells>
  <pageMargins left="0.98425196850393704" right="0.51181102362204722" top="0.59055118110236227" bottom="0.59055118110236227" header="0.31496062992125984" footer="0.31496062992125984"/>
  <pageSetup paperSize="9" scale="58" fitToHeight="0" orientation="landscape" r:id="rId1"/>
  <headerFooter>
    <oddHeader>&amp;C&amp;F&amp;R&amp;A</oddHeader>
    <oddFooter>&amp;LÚLTIMA ATUALIZAÇÃO: 30/05/2025&amp;CUFCA/DINFRA - Pág &amp;P/&amp;N&amp;RSUPERVISÃO DO LEVANTAMENTO: Arq. LOUISE BARBOSA</oddFooter>
  </headerFooter>
  <rowBreaks count="2" manualBreakCount="2">
    <brk id="155" min="2" max="13" man="1"/>
    <brk id="203" min="2"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06CF8-747D-4941-8766-BF8E97452B24}">
  <sheetPr>
    <tabColor theme="5" tint="0.59999389629810485"/>
    <pageSetUpPr fitToPage="1"/>
  </sheetPr>
  <dimension ref="A1:X330"/>
  <sheetViews>
    <sheetView view="pageBreakPreview" topLeftCell="A271" zoomScale="77" zoomScaleNormal="100" zoomScaleSheetLayoutView="77" workbookViewId="0">
      <selection activeCell="Q50" sqref="Q50"/>
    </sheetView>
  </sheetViews>
  <sheetFormatPr defaultRowHeight="15"/>
  <cols>
    <col min="2" max="2" width="11.5703125" customWidth="1"/>
    <col min="3" max="3" width="20" style="64" customWidth="1"/>
    <col min="4" max="4" width="12.28515625" style="18" bestFit="1" customWidth="1"/>
    <col min="5" max="5" width="12.28515625" style="18" customWidth="1"/>
    <col min="6" max="6" width="15.28515625" style="64" bestFit="1" customWidth="1"/>
    <col min="7" max="7" width="42" style="64" bestFit="1" customWidth="1"/>
    <col min="8" max="8" width="10" style="18" customWidth="1"/>
    <col min="9" max="9" width="14.28515625" style="15" bestFit="1" customWidth="1"/>
    <col min="10" max="10" width="21" style="15" bestFit="1" customWidth="1"/>
    <col min="11" max="11" width="21" style="15" customWidth="1"/>
    <col min="12" max="12" width="23.7109375" style="15" customWidth="1"/>
    <col min="13" max="13" width="16.42578125" style="15" customWidth="1"/>
    <col min="14" max="14" width="18" style="15" customWidth="1"/>
    <col min="15" max="15" width="52.85546875" style="15" bestFit="1" customWidth="1"/>
    <col min="16" max="17" width="11.42578125" style="1" customWidth="1"/>
    <col min="18" max="18" width="20.28515625" style="1" customWidth="1"/>
    <col min="19" max="19" width="20" customWidth="1"/>
    <col min="20" max="20" width="14.7109375" style="3" customWidth="1"/>
    <col min="21" max="21" width="17.7109375" style="3" customWidth="1"/>
    <col min="22" max="23" width="9.140625" style="1"/>
    <col min="24" max="24" width="13.140625" customWidth="1"/>
    <col min="26" max="26" width="10.28515625" customWidth="1"/>
  </cols>
  <sheetData>
    <row r="1" spans="1:24">
      <c r="A1" s="117"/>
      <c r="B1" s="118"/>
      <c r="C1" s="333" t="s">
        <v>817</v>
      </c>
      <c r="D1" s="141"/>
      <c r="E1" s="291"/>
      <c r="F1" s="340"/>
      <c r="G1" s="328"/>
      <c r="H1" s="3"/>
      <c r="I1" s="1"/>
      <c r="J1" s="1"/>
      <c r="K1" s="1"/>
      <c r="L1" s="1"/>
      <c r="M1" s="1"/>
      <c r="N1" s="1"/>
      <c r="O1" s="28"/>
    </row>
    <row r="2" spans="1:24">
      <c r="A2" s="120"/>
      <c r="C2" s="229"/>
      <c r="D2" s="3"/>
      <c r="E2" s="3"/>
      <c r="G2" s="229"/>
      <c r="H2" s="3"/>
      <c r="I2" s="1"/>
      <c r="J2" s="1"/>
      <c r="K2" s="1" t="s">
        <v>863</v>
      </c>
      <c r="L2" s="637" t="s">
        <v>266</v>
      </c>
      <c r="M2" s="637"/>
      <c r="N2" s="637"/>
      <c r="O2" s="54"/>
      <c r="R2" s="3"/>
      <c r="S2" s="3"/>
    </row>
    <row r="3" spans="1:24" ht="33" customHeight="1">
      <c r="A3" s="120"/>
      <c r="B3" s="51" t="s">
        <v>0</v>
      </c>
      <c r="C3" s="334" t="s">
        <v>70</v>
      </c>
      <c r="D3" s="91" t="s">
        <v>36</v>
      </c>
      <c r="E3" s="91" t="s">
        <v>1888</v>
      </c>
      <c r="F3" s="91" t="s">
        <v>69</v>
      </c>
      <c r="G3" s="91" t="s">
        <v>74</v>
      </c>
      <c r="H3" s="29" t="s">
        <v>71</v>
      </c>
      <c r="I3" s="58" t="s">
        <v>75</v>
      </c>
      <c r="J3" s="58" t="s">
        <v>257</v>
      </c>
      <c r="K3" s="58" t="s">
        <v>1309</v>
      </c>
      <c r="L3" s="29" t="s">
        <v>271</v>
      </c>
      <c r="M3" s="29" t="s">
        <v>272</v>
      </c>
      <c r="N3" s="29" t="s">
        <v>273</v>
      </c>
      <c r="O3" s="29" t="s">
        <v>274</v>
      </c>
      <c r="P3" s="8"/>
      <c r="Q3" s="8" t="s">
        <v>607</v>
      </c>
      <c r="R3" s="3"/>
      <c r="S3" s="3"/>
      <c r="X3" s="4"/>
    </row>
    <row r="4" spans="1:24">
      <c r="B4" s="51"/>
      <c r="C4" s="259" t="s">
        <v>213</v>
      </c>
      <c r="D4" s="304" t="s">
        <v>219</v>
      </c>
      <c r="E4" s="46"/>
      <c r="F4" s="341" t="s">
        <v>249</v>
      </c>
      <c r="G4" s="64" t="s">
        <v>213</v>
      </c>
      <c r="H4" s="18" t="s">
        <v>787</v>
      </c>
      <c r="I4" s="15">
        <v>5.6</v>
      </c>
      <c r="J4" s="15">
        <f>I4</f>
        <v>5.6</v>
      </c>
      <c r="K4" s="15">
        <v>1</v>
      </c>
      <c r="L4" s="18" t="s">
        <v>268</v>
      </c>
      <c r="M4" s="15" t="s">
        <v>277</v>
      </c>
      <c r="N4" s="15" t="s">
        <v>269</v>
      </c>
      <c r="O4" s="15" t="s">
        <v>360</v>
      </c>
      <c r="Q4" s="1">
        <f>SUM(J4:J5)</f>
        <v>7.3</v>
      </c>
    </row>
    <row r="5" spans="1:24">
      <c r="B5" s="51"/>
      <c r="C5" s="259" t="s">
        <v>213</v>
      </c>
      <c r="D5" s="304" t="s">
        <v>219</v>
      </c>
      <c r="E5" s="46"/>
      <c r="F5" s="341" t="s">
        <v>192</v>
      </c>
      <c r="G5" s="64" t="s">
        <v>192</v>
      </c>
      <c r="H5" s="18" t="s">
        <v>788</v>
      </c>
      <c r="I5" s="15">
        <v>1.7</v>
      </c>
      <c r="J5" s="15">
        <f>I5</f>
        <v>1.7</v>
      </c>
      <c r="L5" s="18" t="s">
        <v>572</v>
      </c>
      <c r="M5" s="15" t="s">
        <v>267</v>
      </c>
      <c r="N5" s="15" t="s">
        <v>269</v>
      </c>
      <c r="O5" s="15" t="s">
        <v>100</v>
      </c>
    </row>
    <row r="6" spans="1:24" ht="15" customHeight="1">
      <c r="B6" s="51"/>
      <c r="C6" s="335" t="s">
        <v>1938</v>
      </c>
      <c r="D6" s="304" t="s">
        <v>219</v>
      </c>
      <c r="E6" s="46"/>
      <c r="F6" s="341" t="s">
        <v>194</v>
      </c>
      <c r="G6" s="64" t="s">
        <v>1308</v>
      </c>
      <c r="H6" s="18" t="s">
        <v>707</v>
      </c>
      <c r="I6" s="15">
        <v>127.4</v>
      </c>
      <c r="J6" s="15">
        <f>I6</f>
        <v>127.4</v>
      </c>
      <c r="K6" s="15">
        <v>1</v>
      </c>
      <c r="L6" s="18" t="s">
        <v>268</v>
      </c>
      <c r="M6" s="15" t="s">
        <v>277</v>
      </c>
      <c r="N6" s="15" t="s">
        <v>269</v>
      </c>
      <c r="O6" s="15" t="s">
        <v>360</v>
      </c>
      <c r="Q6" s="1">
        <f>SUM(J6:J18)</f>
        <v>370.45</v>
      </c>
      <c r="T6" s="1"/>
    </row>
    <row r="7" spans="1:24">
      <c r="B7" s="51"/>
      <c r="C7" s="335" t="s">
        <v>1938</v>
      </c>
      <c r="D7" s="304" t="s">
        <v>219</v>
      </c>
      <c r="E7" s="46" t="s">
        <v>1885</v>
      </c>
      <c r="F7" s="341" t="s">
        <v>249</v>
      </c>
      <c r="G7" s="64" t="s">
        <v>214</v>
      </c>
      <c r="H7" s="18" t="s">
        <v>708</v>
      </c>
      <c r="I7" s="15">
        <v>24.9</v>
      </c>
      <c r="J7" s="15">
        <f>I7</f>
        <v>24.9</v>
      </c>
      <c r="K7" s="15">
        <v>4</v>
      </c>
      <c r="L7" s="18" t="s">
        <v>268</v>
      </c>
      <c r="M7" s="15" t="s">
        <v>277</v>
      </c>
      <c r="N7" s="15" t="s">
        <v>269</v>
      </c>
      <c r="O7" s="15" t="s">
        <v>360</v>
      </c>
    </row>
    <row r="8" spans="1:24">
      <c r="B8" s="51"/>
      <c r="C8" s="335" t="s">
        <v>1938</v>
      </c>
      <c r="D8" s="304" t="s">
        <v>219</v>
      </c>
      <c r="E8" s="46" t="s">
        <v>1885</v>
      </c>
      <c r="F8" s="341" t="s">
        <v>249</v>
      </c>
      <c r="G8" s="64" t="s">
        <v>215</v>
      </c>
      <c r="H8" s="18" t="s">
        <v>709</v>
      </c>
      <c r="I8" s="15">
        <v>19.8</v>
      </c>
      <c r="J8" s="15">
        <f t="shared" ref="J8:J17" si="0">I8</f>
        <v>19.8</v>
      </c>
      <c r="K8" s="15">
        <v>2</v>
      </c>
      <c r="L8" s="18" t="s">
        <v>268</v>
      </c>
      <c r="M8" s="15" t="s">
        <v>277</v>
      </c>
      <c r="N8" s="15" t="s">
        <v>269</v>
      </c>
      <c r="O8" s="15" t="s">
        <v>360</v>
      </c>
    </row>
    <row r="9" spans="1:24">
      <c r="B9" s="51"/>
      <c r="C9" s="335" t="s">
        <v>1938</v>
      </c>
      <c r="D9" s="304" t="s">
        <v>219</v>
      </c>
      <c r="E9" s="46" t="s">
        <v>1885</v>
      </c>
      <c r="F9" s="341" t="s">
        <v>249</v>
      </c>
      <c r="G9" s="64" t="s">
        <v>216</v>
      </c>
      <c r="H9" s="18" t="s">
        <v>710</v>
      </c>
      <c r="I9" s="15">
        <v>30</v>
      </c>
      <c r="J9" s="15">
        <f t="shared" si="0"/>
        <v>30</v>
      </c>
      <c r="K9" s="15">
        <v>15</v>
      </c>
      <c r="L9" s="18" t="s">
        <v>268</v>
      </c>
      <c r="M9" s="15" t="s">
        <v>277</v>
      </c>
      <c r="N9" s="15" t="s">
        <v>269</v>
      </c>
      <c r="O9" s="15" t="s">
        <v>360</v>
      </c>
    </row>
    <row r="10" spans="1:24">
      <c r="B10" s="51"/>
      <c r="C10" s="335" t="s">
        <v>1938</v>
      </c>
      <c r="D10" s="304" t="s">
        <v>219</v>
      </c>
      <c r="E10" s="46" t="s">
        <v>1885</v>
      </c>
      <c r="F10" s="341" t="s">
        <v>249</v>
      </c>
      <c r="G10" s="64" t="s">
        <v>212</v>
      </c>
      <c r="H10" s="18" t="s">
        <v>711</v>
      </c>
      <c r="I10" s="15">
        <v>19.8</v>
      </c>
      <c r="J10" s="15">
        <f t="shared" si="0"/>
        <v>19.8</v>
      </c>
      <c r="K10" s="15">
        <v>2</v>
      </c>
      <c r="L10" s="18" t="s">
        <v>268</v>
      </c>
      <c r="M10" s="15" t="s">
        <v>277</v>
      </c>
      <c r="N10" s="15" t="s">
        <v>269</v>
      </c>
      <c r="O10" s="15" t="s">
        <v>360</v>
      </c>
    </row>
    <row r="11" spans="1:24">
      <c r="B11" s="51"/>
      <c r="C11" s="335" t="s">
        <v>1938</v>
      </c>
      <c r="D11" s="304" t="s">
        <v>219</v>
      </c>
      <c r="E11" s="46"/>
      <c r="F11" s="341" t="s">
        <v>211</v>
      </c>
      <c r="G11" s="64" t="s">
        <v>211</v>
      </c>
      <c r="H11" s="18" t="s">
        <v>712</v>
      </c>
      <c r="I11" s="15">
        <v>9.57</v>
      </c>
      <c r="J11" s="15">
        <f t="shared" si="0"/>
        <v>9.57</v>
      </c>
      <c r="K11" s="15">
        <v>1</v>
      </c>
      <c r="L11" s="18" t="s">
        <v>268</v>
      </c>
      <c r="M11" s="15" t="s">
        <v>277</v>
      </c>
      <c r="N11" s="15" t="s">
        <v>269</v>
      </c>
      <c r="O11" s="15" t="s">
        <v>360</v>
      </c>
    </row>
    <row r="12" spans="1:24">
      <c r="B12" s="51"/>
      <c r="C12" s="335" t="s">
        <v>1938</v>
      </c>
      <c r="D12" s="304" t="s">
        <v>219</v>
      </c>
      <c r="E12" s="46"/>
      <c r="F12" s="341" t="s">
        <v>355</v>
      </c>
      <c r="G12" s="64" t="s">
        <v>217</v>
      </c>
      <c r="H12" s="18" t="s">
        <v>713</v>
      </c>
      <c r="I12" s="15">
        <v>7.1</v>
      </c>
      <c r="J12" s="15">
        <f t="shared" si="0"/>
        <v>7.1</v>
      </c>
      <c r="L12" s="18" t="s">
        <v>572</v>
      </c>
      <c r="M12" s="15" t="s">
        <v>267</v>
      </c>
      <c r="N12" s="15" t="s">
        <v>269</v>
      </c>
      <c r="O12" s="15" t="s">
        <v>100</v>
      </c>
    </row>
    <row r="13" spans="1:24">
      <c r="B13" s="51"/>
      <c r="C13" s="335" t="s">
        <v>1938</v>
      </c>
      <c r="D13" s="304" t="s">
        <v>219</v>
      </c>
      <c r="E13" s="46"/>
      <c r="F13" s="341" t="s">
        <v>192</v>
      </c>
      <c r="G13" s="64" t="s">
        <v>192</v>
      </c>
      <c r="H13" s="18" t="s">
        <v>714</v>
      </c>
      <c r="I13" s="15">
        <v>3.23</v>
      </c>
      <c r="J13" s="15">
        <f t="shared" si="0"/>
        <v>3.23</v>
      </c>
      <c r="L13" s="18" t="s">
        <v>572</v>
      </c>
      <c r="M13" s="15" t="s">
        <v>267</v>
      </c>
      <c r="N13" s="15" t="s">
        <v>269</v>
      </c>
      <c r="O13" s="15" t="s">
        <v>100</v>
      </c>
    </row>
    <row r="14" spans="1:24">
      <c r="B14" s="51"/>
      <c r="C14" s="335" t="s">
        <v>1938</v>
      </c>
      <c r="D14" s="304" t="s">
        <v>219</v>
      </c>
      <c r="E14" s="46"/>
      <c r="F14" s="341" t="s">
        <v>192</v>
      </c>
      <c r="G14" s="64" t="s">
        <v>192</v>
      </c>
      <c r="H14" s="18" t="s">
        <v>715</v>
      </c>
      <c r="I14" s="15">
        <v>8.8000000000000007</v>
      </c>
      <c r="J14" s="15">
        <f t="shared" si="0"/>
        <v>8.8000000000000007</v>
      </c>
      <c r="L14" s="18" t="s">
        <v>572</v>
      </c>
      <c r="M14" s="15" t="s">
        <v>267</v>
      </c>
      <c r="N14" s="15" t="s">
        <v>269</v>
      </c>
      <c r="O14" s="15" t="s">
        <v>100</v>
      </c>
    </row>
    <row r="15" spans="1:24">
      <c r="B15" s="51"/>
      <c r="C15" s="335" t="s">
        <v>1938</v>
      </c>
      <c r="D15" s="304" t="s">
        <v>219</v>
      </c>
      <c r="E15" s="46"/>
      <c r="F15" s="341" t="s">
        <v>192</v>
      </c>
      <c r="G15" s="64" t="s">
        <v>192</v>
      </c>
      <c r="H15" s="18" t="s">
        <v>716</v>
      </c>
      <c r="I15" s="15">
        <v>8.8000000000000007</v>
      </c>
      <c r="J15" s="15">
        <f t="shared" si="0"/>
        <v>8.8000000000000007</v>
      </c>
      <c r="L15" s="18" t="s">
        <v>572</v>
      </c>
      <c r="M15" s="15" t="s">
        <v>267</v>
      </c>
      <c r="N15" s="15" t="s">
        <v>269</v>
      </c>
      <c r="O15" s="15" t="s">
        <v>100</v>
      </c>
    </row>
    <row r="16" spans="1:24">
      <c r="B16" s="51"/>
      <c r="C16" s="335" t="s">
        <v>1938</v>
      </c>
      <c r="D16" s="304" t="s">
        <v>219</v>
      </c>
      <c r="E16" s="46"/>
      <c r="F16" s="341" t="s">
        <v>194</v>
      </c>
      <c r="G16" s="64" t="s">
        <v>218</v>
      </c>
      <c r="H16" s="18" t="s">
        <v>762</v>
      </c>
      <c r="I16" s="15">
        <v>54.9</v>
      </c>
      <c r="J16" s="15">
        <f t="shared" si="0"/>
        <v>54.9</v>
      </c>
      <c r="L16" s="18" t="s">
        <v>268</v>
      </c>
      <c r="M16" s="15" t="s">
        <v>100</v>
      </c>
      <c r="N16" s="15" t="s">
        <v>279</v>
      </c>
      <c r="O16" s="15" t="s">
        <v>360</v>
      </c>
    </row>
    <row r="17" spans="1:20">
      <c r="B17" s="51"/>
      <c r="C17" s="335" t="s">
        <v>1938</v>
      </c>
      <c r="D17" s="304" t="s">
        <v>219</v>
      </c>
      <c r="E17" s="46"/>
      <c r="F17" s="341" t="s">
        <v>194</v>
      </c>
      <c r="G17" s="64" t="s">
        <v>218</v>
      </c>
      <c r="H17" s="18" t="s">
        <v>763</v>
      </c>
      <c r="I17" s="15">
        <v>24</v>
      </c>
      <c r="J17" s="15">
        <f t="shared" si="0"/>
        <v>24</v>
      </c>
      <c r="L17" s="18" t="s">
        <v>268</v>
      </c>
      <c r="M17" s="15" t="s">
        <v>100</v>
      </c>
      <c r="N17" s="15" t="s">
        <v>279</v>
      </c>
      <c r="O17" s="15" t="s">
        <v>360</v>
      </c>
    </row>
    <row r="18" spans="1:20">
      <c r="B18" s="245">
        <f>SUM(I4:I18)</f>
        <v>377.75</v>
      </c>
      <c r="C18" s="335" t="s">
        <v>1938</v>
      </c>
      <c r="D18" s="304" t="s">
        <v>219</v>
      </c>
      <c r="E18" s="46"/>
      <c r="F18" s="341" t="s">
        <v>194</v>
      </c>
      <c r="G18" s="64" t="s">
        <v>194</v>
      </c>
      <c r="H18" s="18" t="s">
        <v>764</v>
      </c>
      <c r="I18" s="15">
        <v>32.15</v>
      </c>
      <c r="J18" s="15">
        <f>I18</f>
        <v>32.15</v>
      </c>
      <c r="L18" s="18" t="s">
        <v>268</v>
      </c>
      <c r="M18" s="15" t="s">
        <v>277</v>
      </c>
      <c r="N18" s="15" t="s">
        <v>269</v>
      </c>
      <c r="O18" s="15" t="s">
        <v>360</v>
      </c>
    </row>
    <row r="19" spans="1:20">
      <c r="A19" s="120"/>
      <c r="B19" s="51"/>
      <c r="C19" s="64" t="s">
        <v>1939</v>
      </c>
      <c r="D19" s="304" t="s">
        <v>219</v>
      </c>
      <c r="E19" s="46" t="s">
        <v>1885</v>
      </c>
      <c r="F19" s="341" t="s">
        <v>208</v>
      </c>
      <c r="G19" s="329" t="s">
        <v>208</v>
      </c>
      <c r="H19" s="18" t="s">
        <v>665</v>
      </c>
      <c r="I19" s="15">
        <v>14.7</v>
      </c>
      <c r="J19" s="15">
        <f>I19</f>
        <v>14.7</v>
      </c>
      <c r="K19" s="15">
        <v>2</v>
      </c>
      <c r="L19" s="18" t="s">
        <v>268</v>
      </c>
      <c r="M19" s="15" t="s">
        <v>277</v>
      </c>
      <c r="N19" s="15" t="s">
        <v>269</v>
      </c>
      <c r="O19" s="15" t="s">
        <v>360</v>
      </c>
      <c r="Q19" s="1">
        <f>SUM(J19:J28)</f>
        <v>292.89999999999998</v>
      </c>
    </row>
    <row r="20" spans="1:20">
      <c r="A20" s="120"/>
      <c r="B20" s="51"/>
      <c r="C20" s="64" t="s">
        <v>1939</v>
      </c>
      <c r="D20" s="304" t="s">
        <v>219</v>
      </c>
      <c r="E20" s="46" t="s">
        <v>1885</v>
      </c>
      <c r="F20" s="341" t="s">
        <v>208</v>
      </c>
      <c r="G20" s="329" t="s">
        <v>208</v>
      </c>
      <c r="H20" s="18" t="s">
        <v>666</v>
      </c>
      <c r="I20" s="15">
        <v>14.7</v>
      </c>
      <c r="J20" s="15">
        <f>I20</f>
        <v>14.7</v>
      </c>
      <c r="K20" s="15">
        <v>2</v>
      </c>
      <c r="L20" s="18" t="s">
        <v>268</v>
      </c>
      <c r="M20" s="15" t="s">
        <v>277</v>
      </c>
      <c r="N20" s="15" t="s">
        <v>269</v>
      </c>
      <c r="O20" s="15" t="s">
        <v>360</v>
      </c>
      <c r="T20" s="1"/>
    </row>
    <row r="21" spans="1:20">
      <c r="A21" s="120"/>
      <c r="B21" s="51"/>
      <c r="C21" s="64" t="s">
        <v>1939</v>
      </c>
      <c r="D21" s="304" t="s">
        <v>219</v>
      </c>
      <c r="E21" s="46" t="s">
        <v>1885</v>
      </c>
      <c r="F21" s="341" t="s">
        <v>208</v>
      </c>
      <c r="G21" s="329" t="s">
        <v>208</v>
      </c>
      <c r="H21" s="18" t="s">
        <v>667</v>
      </c>
      <c r="I21" s="15">
        <v>14.7</v>
      </c>
      <c r="J21" s="15">
        <f t="shared" ref="J21:J27" si="1">I21</f>
        <v>14.7</v>
      </c>
      <c r="K21" s="15">
        <v>2</v>
      </c>
      <c r="L21" s="18" t="s">
        <v>268</v>
      </c>
      <c r="M21" s="15" t="s">
        <v>277</v>
      </c>
      <c r="N21" s="15" t="s">
        <v>269</v>
      </c>
      <c r="O21" s="15" t="s">
        <v>360</v>
      </c>
    </row>
    <row r="22" spans="1:20">
      <c r="A22" s="120"/>
      <c r="B22" s="51"/>
      <c r="C22" s="64" t="s">
        <v>1939</v>
      </c>
      <c r="D22" s="304" t="s">
        <v>219</v>
      </c>
      <c r="E22" s="46" t="s">
        <v>1885</v>
      </c>
      <c r="F22" s="341" t="s">
        <v>208</v>
      </c>
      <c r="G22" s="329" t="s">
        <v>208</v>
      </c>
      <c r="H22" s="18" t="s">
        <v>668</v>
      </c>
      <c r="I22" s="15">
        <v>14.7</v>
      </c>
      <c r="J22" s="15">
        <f t="shared" si="1"/>
        <v>14.7</v>
      </c>
      <c r="K22" s="15">
        <v>2</v>
      </c>
      <c r="L22" s="18" t="s">
        <v>268</v>
      </c>
      <c r="M22" s="15" t="s">
        <v>277</v>
      </c>
      <c r="N22" s="15" t="s">
        <v>269</v>
      </c>
      <c r="O22" s="15" t="s">
        <v>360</v>
      </c>
    </row>
    <row r="23" spans="1:20">
      <c r="A23" s="120"/>
      <c r="B23" s="51"/>
      <c r="C23" s="64" t="s">
        <v>1939</v>
      </c>
      <c r="D23" s="304" t="s">
        <v>219</v>
      </c>
      <c r="E23" s="46" t="s">
        <v>1885</v>
      </c>
      <c r="F23" s="341" t="s">
        <v>208</v>
      </c>
      <c r="G23" s="329" t="s">
        <v>208</v>
      </c>
      <c r="H23" s="18" t="s">
        <v>669</v>
      </c>
      <c r="I23" s="15">
        <v>14.7</v>
      </c>
      <c r="J23" s="15">
        <f t="shared" si="1"/>
        <v>14.7</v>
      </c>
      <c r="K23" s="15">
        <v>2</v>
      </c>
      <c r="L23" s="18" t="s">
        <v>268</v>
      </c>
      <c r="M23" s="15" t="s">
        <v>277</v>
      </c>
      <c r="N23" s="15" t="s">
        <v>269</v>
      </c>
      <c r="O23" s="15" t="s">
        <v>360</v>
      </c>
      <c r="T23" s="1"/>
    </row>
    <row r="24" spans="1:20">
      <c r="A24" s="120"/>
      <c r="B24" s="111"/>
      <c r="C24" s="64" t="s">
        <v>1939</v>
      </c>
      <c r="D24" s="304" t="s">
        <v>219</v>
      </c>
      <c r="E24" s="46" t="s">
        <v>1885</v>
      </c>
      <c r="F24" s="341" t="s">
        <v>208</v>
      </c>
      <c r="G24" s="329" t="s">
        <v>208</v>
      </c>
      <c r="H24" s="18" t="s">
        <v>670</v>
      </c>
      <c r="I24" s="15">
        <v>14.7</v>
      </c>
      <c r="J24" s="15">
        <f t="shared" si="1"/>
        <v>14.7</v>
      </c>
      <c r="K24" s="15">
        <v>2</v>
      </c>
      <c r="L24" s="18" t="s">
        <v>268</v>
      </c>
      <c r="M24" s="15" t="s">
        <v>277</v>
      </c>
      <c r="N24" s="15" t="s">
        <v>269</v>
      </c>
      <c r="O24" s="15" t="s">
        <v>360</v>
      </c>
    </row>
    <row r="25" spans="1:20" ht="15.75" thickBot="1">
      <c r="A25" s="135"/>
      <c r="B25" s="142"/>
      <c r="C25" s="64" t="s">
        <v>1939</v>
      </c>
      <c r="D25" s="304" t="s">
        <v>219</v>
      </c>
      <c r="E25" s="290"/>
      <c r="F25" s="341" t="s">
        <v>192</v>
      </c>
      <c r="G25" s="329" t="s">
        <v>199</v>
      </c>
      <c r="H25" s="18" t="s">
        <v>671</v>
      </c>
      <c r="I25" s="15">
        <v>8.6999999999999993</v>
      </c>
      <c r="J25" s="15">
        <f t="shared" si="1"/>
        <v>8.6999999999999993</v>
      </c>
      <c r="K25" s="15">
        <v>0</v>
      </c>
      <c r="L25" s="18" t="s">
        <v>572</v>
      </c>
      <c r="M25" s="15" t="s">
        <v>267</v>
      </c>
      <c r="N25" s="15" t="s">
        <v>269</v>
      </c>
      <c r="O25" s="15" t="s">
        <v>100</v>
      </c>
    </row>
    <row r="26" spans="1:20">
      <c r="B26" s="114"/>
      <c r="C26" s="64" t="s">
        <v>1939</v>
      </c>
      <c r="D26" s="304" t="s">
        <v>219</v>
      </c>
      <c r="E26" s="288"/>
      <c r="F26" s="341" t="s">
        <v>192</v>
      </c>
      <c r="G26" s="329" t="s">
        <v>200</v>
      </c>
      <c r="H26" s="18" t="s">
        <v>672</v>
      </c>
      <c r="I26" s="15">
        <v>8.6999999999999993</v>
      </c>
      <c r="J26" s="15">
        <f t="shared" si="1"/>
        <v>8.6999999999999993</v>
      </c>
      <c r="K26" s="15">
        <v>0</v>
      </c>
      <c r="L26" s="18" t="s">
        <v>572</v>
      </c>
      <c r="M26" s="15" t="s">
        <v>267</v>
      </c>
      <c r="N26" s="15" t="s">
        <v>269</v>
      </c>
      <c r="O26" s="15" t="s">
        <v>100</v>
      </c>
    </row>
    <row r="27" spans="1:20">
      <c r="B27" s="51"/>
      <c r="C27" s="64" t="s">
        <v>1939</v>
      </c>
      <c r="D27" s="304" t="s">
        <v>219</v>
      </c>
      <c r="E27" s="46"/>
      <c r="F27" s="341" t="s">
        <v>192</v>
      </c>
      <c r="G27" s="64" t="s">
        <v>209</v>
      </c>
      <c r="H27" s="18" t="s">
        <v>673</v>
      </c>
      <c r="I27" s="15">
        <v>2.8</v>
      </c>
      <c r="J27" s="15">
        <f t="shared" si="1"/>
        <v>2.8</v>
      </c>
      <c r="K27" s="15">
        <v>0</v>
      </c>
      <c r="L27" s="18" t="s">
        <v>572</v>
      </c>
      <c r="M27" s="15" t="s">
        <v>267</v>
      </c>
      <c r="N27" s="15" t="s">
        <v>269</v>
      </c>
      <c r="O27" s="15" t="s">
        <v>100</v>
      </c>
    </row>
    <row r="28" spans="1:20">
      <c r="B28" s="245">
        <f>SUM(I19:I28)</f>
        <v>292.89999999999998</v>
      </c>
      <c r="C28" s="64" t="s">
        <v>1939</v>
      </c>
      <c r="D28" s="304" t="s">
        <v>219</v>
      </c>
      <c r="E28" s="46"/>
      <c r="F28" s="341" t="s">
        <v>194</v>
      </c>
      <c r="G28" s="64" t="s">
        <v>194</v>
      </c>
      <c r="H28" s="18" t="s">
        <v>759</v>
      </c>
      <c r="I28" s="15">
        <v>184.5</v>
      </c>
      <c r="J28" s="15">
        <f>I28</f>
        <v>184.5</v>
      </c>
      <c r="K28" s="15">
        <v>0</v>
      </c>
      <c r="L28" s="18" t="s">
        <v>268</v>
      </c>
      <c r="M28" s="15" t="s">
        <v>277</v>
      </c>
      <c r="N28" s="15" t="s">
        <v>279</v>
      </c>
      <c r="O28" s="15" t="s">
        <v>360</v>
      </c>
    </row>
    <row r="29" spans="1:20" ht="15" customHeight="1">
      <c r="B29" s="51"/>
      <c r="C29" s="336" t="s">
        <v>1926</v>
      </c>
      <c r="D29" s="304" t="s">
        <v>219</v>
      </c>
      <c r="E29" s="46" t="s">
        <v>1885</v>
      </c>
      <c r="F29" s="341" t="s">
        <v>593</v>
      </c>
      <c r="G29" s="329" t="s">
        <v>1310</v>
      </c>
      <c r="H29" s="18" t="s">
        <v>681</v>
      </c>
      <c r="I29" s="15">
        <v>62.41</v>
      </c>
      <c r="J29" s="15">
        <f>I29</f>
        <v>62.41</v>
      </c>
      <c r="K29" s="15">
        <v>25</v>
      </c>
      <c r="L29" s="18" t="s">
        <v>268</v>
      </c>
      <c r="M29" s="15" t="s">
        <v>277</v>
      </c>
      <c r="N29" s="15" t="s">
        <v>269</v>
      </c>
      <c r="O29" s="15" t="s">
        <v>360</v>
      </c>
      <c r="Q29" s="1">
        <f>SUM(J29:J51)</f>
        <v>844.43000000000018</v>
      </c>
    </row>
    <row r="30" spans="1:20">
      <c r="B30" s="51"/>
      <c r="C30" s="336" t="s">
        <v>1926</v>
      </c>
      <c r="D30" s="304" t="s">
        <v>219</v>
      </c>
      <c r="E30" s="46" t="s">
        <v>1885</v>
      </c>
      <c r="F30" s="341" t="s">
        <v>208</v>
      </c>
      <c r="G30" s="329" t="s">
        <v>208</v>
      </c>
      <c r="H30" s="18" t="s">
        <v>682</v>
      </c>
      <c r="I30" s="15">
        <v>14.69</v>
      </c>
      <c r="J30" s="15">
        <f>I30</f>
        <v>14.69</v>
      </c>
      <c r="K30" s="15">
        <v>1</v>
      </c>
      <c r="L30" s="18" t="s">
        <v>268</v>
      </c>
      <c r="M30" s="15" t="s">
        <v>277</v>
      </c>
      <c r="N30" s="15" t="s">
        <v>269</v>
      </c>
      <c r="O30" s="15" t="s">
        <v>360</v>
      </c>
    </row>
    <row r="31" spans="1:20">
      <c r="B31" s="51"/>
      <c r="C31" s="336" t="s">
        <v>1926</v>
      </c>
      <c r="D31" s="304" t="s">
        <v>219</v>
      </c>
      <c r="E31" s="46" t="s">
        <v>1885</v>
      </c>
      <c r="F31" s="341" t="s">
        <v>355</v>
      </c>
      <c r="G31" s="329" t="s">
        <v>205</v>
      </c>
      <c r="H31" s="18" t="s">
        <v>684</v>
      </c>
      <c r="I31" s="15">
        <v>10.9</v>
      </c>
      <c r="J31" s="15">
        <f t="shared" ref="J31:J50" si="2">I31</f>
        <v>10.9</v>
      </c>
      <c r="K31" s="15">
        <v>0</v>
      </c>
      <c r="L31" s="18" t="s">
        <v>268</v>
      </c>
      <c r="M31" s="15" t="s">
        <v>277</v>
      </c>
      <c r="N31" s="15" t="s">
        <v>269</v>
      </c>
      <c r="O31" s="15" t="s">
        <v>360</v>
      </c>
    </row>
    <row r="32" spans="1:20">
      <c r="B32" s="51"/>
      <c r="C32" s="336" t="s">
        <v>1926</v>
      </c>
      <c r="D32" s="304" t="s">
        <v>219</v>
      </c>
      <c r="E32" s="46" t="s">
        <v>1885</v>
      </c>
      <c r="F32" s="341" t="s">
        <v>593</v>
      </c>
      <c r="G32" s="329" t="s">
        <v>888</v>
      </c>
      <c r="H32" s="18" t="s">
        <v>683</v>
      </c>
      <c r="I32" s="15">
        <v>62.41</v>
      </c>
      <c r="J32" s="15">
        <f t="shared" si="2"/>
        <v>62.41</v>
      </c>
      <c r="K32" s="15">
        <v>25</v>
      </c>
      <c r="L32" s="18" t="s">
        <v>268</v>
      </c>
      <c r="M32" s="15" t="s">
        <v>277</v>
      </c>
      <c r="N32" s="15" t="s">
        <v>269</v>
      </c>
      <c r="O32" s="15" t="s">
        <v>360</v>
      </c>
    </row>
    <row r="33" spans="2:15">
      <c r="B33" s="51"/>
      <c r="C33" s="336" t="s">
        <v>1926</v>
      </c>
      <c r="D33" s="304" t="s">
        <v>219</v>
      </c>
      <c r="E33" s="46" t="s">
        <v>1885</v>
      </c>
      <c r="F33" s="341" t="s">
        <v>208</v>
      </c>
      <c r="G33" s="329" t="s">
        <v>208</v>
      </c>
      <c r="H33" s="18" t="s">
        <v>686</v>
      </c>
      <c r="I33" s="15">
        <v>14.69</v>
      </c>
      <c r="J33" s="15">
        <f t="shared" si="2"/>
        <v>14.69</v>
      </c>
      <c r="K33" s="15">
        <v>1</v>
      </c>
      <c r="L33" s="18" t="s">
        <v>268</v>
      </c>
      <c r="M33" s="15" t="s">
        <v>277</v>
      </c>
      <c r="N33" s="15" t="s">
        <v>269</v>
      </c>
      <c r="O33" s="15" t="s">
        <v>360</v>
      </c>
    </row>
    <row r="34" spans="2:15">
      <c r="B34" s="51"/>
      <c r="C34" s="336" t="s">
        <v>1926</v>
      </c>
      <c r="D34" s="304" t="s">
        <v>219</v>
      </c>
      <c r="E34" s="46" t="s">
        <v>1885</v>
      </c>
      <c r="F34" s="341" t="s">
        <v>355</v>
      </c>
      <c r="G34" s="329" t="s">
        <v>205</v>
      </c>
      <c r="H34" s="18" t="s">
        <v>687</v>
      </c>
      <c r="I34" s="15">
        <v>10.9</v>
      </c>
      <c r="J34" s="15">
        <f t="shared" si="2"/>
        <v>10.9</v>
      </c>
      <c r="K34" s="15">
        <v>0</v>
      </c>
      <c r="L34" s="18" t="s">
        <v>268</v>
      </c>
      <c r="M34" s="15" t="s">
        <v>277</v>
      </c>
      <c r="N34" s="15" t="s">
        <v>269</v>
      </c>
      <c r="O34" s="15" t="s">
        <v>360</v>
      </c>
    </row>
    <row r="35" spans="2:15">
      <c r="B35" s="51"/>
      <c r="C35" s="336" t="s">
        <v>1926</v>
      </c>
      <c r="D35" s="304" t="s">
        <v>219</v>
      </c>
      <c r="E35" s="46" t="s">
        <v>1885</v>
      </c>
      <c r="F35" s="341" t="s">
        <v>593</v>
      </c>
      <c r="G35" s="329" t="s">
        <v>889</v>
      </c>
      <c r="H35" s="18" t="s">
        <v>688</v>
      </c>
      <c r="I35" s="15">
        <v>62.41</v>
      </c>
      <c r="J35" s="15">
        <f t="shared" si="2"/>
        <v>62.41</v>
      </c>
      <c r="K35" s="15">
        <v>25</v>
      </c>
      <c r="L35" s="18" t="s">
        <v>268</v>
      </c>
      <c r="M35" s="15" t="s">
        <v>277</v>
      </c>
      <c r="N35" s="15" t="s">
        <v>269</v>
      </c>
      <c r="O35" s="15" t="s">
        <v>360</v>
      </c>
    </row>
    <row r="36" spans="2:15">
      <c r="B36" s="51"/>
      <c r="C36" s="336" t="s">
        <v>1926</v>
      </c>
      <c r="D36" s="304" t="s">
        <v>219</v>
      </c>
      <c r="E36" s="46" t="s">
        <v>1885</v>
      </c>
      <c r="F36" s="341" t="s">
        <v>208</v>
      </c>
      <c r="G36" s="329" t="s">
        <v>208</v>
      </c>
      <c r="H36" s="18" t="s">
        <v>689</v>
      </c>
      <c r="I36" s="15">
        <v>14.69</v>
      </c>
      <c r="J36" s="15">
        <f t="shared" si="2"/>
        <v>14.69</v>
      </c>
      <c r="K36" s="15">
        <v>1</v>
      </c>
      <c r="L36" s="18" t="s">
        <v>268</v>
      </c>
      <c r="M36" s="15" t="s">
        <v>277</v>
      </c>
      <c r="N36" s="15" t="s">
        <v>269</v>
      </c>
      <c r="O36" s="15" t="s">
        <v>360</v>
      </c>
    </row>
    <row r="37" spans="2:15">
      <c r="B37" s="51"/>
      <c r="C37" s="336" t="s">
        <v>1926</v>
      </c>
      <c r="D37" s="304" t="s">
        <v>219</v>
      </c>
      <c r="E37" s="46" t="s">
        <v>1885</v>
      </c>
      <c r="F37" s="341" t="s">
        <v>355</v>
      </c>
      <c r="G37" s="329" t="s">
        <v>205</v>
      </c>
      <c r="H37" s="18" t="s">
        <v>690</v>
      </c>
      <c r="I37" s="15">
        <v>10.9</v>
      </c>
      <c r="J37" s="15">
        <f t="shared" si="2"/>
        <v>10.9</v>
      </c>
      <c r="K37" s="15">
        <v>0</v>
      </c>
      <c r="L37" s="18" t="s">
        <v>268</v>
      </c>
      <c r="M37" s="15" t="s">
        <v>277</v>
      </c>
      <c r="N37" s="15" t="s">
        <v>269</v>
      </c>
      <c r="O37" s="15" t="s">
        <v>360</v>
      </c>
    </row>
    <row r="38" spans="2:15">
      <c r="B38" s="51"/>
      <c r="C38" s="336" t="s">
        <v>1926</v>
      </c>
      <c r="D38" s="304" t="s">
        <v>219</v>
      </c>
      <c r="E38" s="46" t="s">
        <v>1885</v>
      </c>
      <c r="F38" s="341" t="s">
        <v>593</v>
      </c>
      <c r="G38" s="329" t="s">
        <v>890</v>
      </c>
      <c r="H38" s="18" t="s">
        <v>691</v>
      </c>
      <c r="I38" s="15">
        <v>62.41</v>
      </c>
      <c r="J38" s="15">
        <f t="shared" si="2"/>
        <v>62.41</v>
      </c>
      <c r="K38" s="15">
        <v>25</v>
      </c>
      <c r="L38" s="18" t="s">
        <v>268</v>
      </c>
      <c r="M38" s="15" t="s">
        <v>277</v>
      </c>
      <c r="N38" s="15" t="s">
        <v>269</v>
      </c>
      <c r="O38" s="15" t="s">
        <v>360</v>
      </c>
    </row>
    <row r="39" spans="2:15">
      <c r="B39" s="51"/>
      <c r="C39" s="336" t="s">
        <v>1926</v>
      </c>
      <c r="D39" s="304" t="s">
        <v>219</v>
      </c>
      <c r="E39" s="46" t="s">
        <v>1885</v>
      </c>
      <c r="F39" s="341" t="s">
        <v>208</v>
      </c>
      <c r="G39" s="329" t="s">
        <v>208</v>
      </c>
      <c r="H39" s="18" t="s">
        <v>692</v>
      </c>
      <c r="I39" s="15">
        <v>14.69</v>
      </c>
      <c r="J39" s="15">
        <f t="shared" si="2"/>
        <v>14.69</v>
      </c>
      <c r="K39" s="15">
        <v>1</v>
      </c>
      <c r="L39" s="18" t="s">
        <v>268</v>
      </c>
      <c r="M39" s="15" t="s">
        <v>277</v>
      </c>
      <c r="N39" s="15" t="s">
        <v>269</v>
      </c>
      <c r="O39" s="15" t="s">
        <v>360</v>
      </c>
    </row>
    <row r="40" spans="2:15">
      <c r="B40" s="51"/>
      <c r="C40" s="336" t="s">
        <v>1926</v>
      </c>
      <c r="D40" s="304" t="s">
        <v>219</v>
      </c>
      <c r="E40" s="46" t="s">
        <v>1885</v>
      </c>
      <c r="F40" s="341" t="s">
        <v>355</v>
      </c>
      <c r="G40" s="329" t="s">
        <v>205</v>
      </c>
      <c r="H40" s="18" t="s">
        <v>693</v>
      </c>
      <c r="I40" s="15">
        <v>10.9</v>
      </c>
      <c r="J40" s="15">
        <f t="shared" si="2"/>
        <v>10.9</v>
      </c>
      <c r="K40" s="15">
        <v>0</v>
      </c>
      <c r="L40" s="18" t="s">
        <v>268</v>
      </c>
      <c r="M40" s="15" t="s">
        <v>277</v>
      </c>
      <c r="N40" s="15" t="s">
        <v>269</v>
      </c>
      <c r="O40" s="15" t="s">
        <v>360</v>
      </c>
    </row>
    <row r="41" spans="2:15">
      <c r="B41" s="51"/>
      <c r="C41" s="336" t="s">
        <v>1926</v>
      </c>
      <c r="D41" s="304" t="s">
        <v>219</v>
      </c>
      <c r="E41" s="46" t="s">
        <v>1885</v>
      </c>
      <c r="F41" s="341" t="s">
        <v>593</v>
      </c>
      <c r="G41" s="329" t="s">
        <v>891</v>
      </c>
      <c r="H41" s="18" t="s">
        <v>694</v>
      </c>
      <c r="I41" s="15">
        <v>62.41</v>
      </c>
      <c r="J41" s="15">
        <f t="shared" si="2"/>
        <v>62.41</v>
      </c>
      <c r="K41" s="15">
        <v>25</v>
      </c>
      <c r="L41" s="18" t="s">
        <v>268</v>
      </c>
      <c r="M41" s="15" t="s">
        <v>277</v>
      </c>
      <c r="N41" s="15" t="s">
        <v>269</v>
      </c>
      <c r="O41" s="15" t="s">
        <v>360</v>
      </c>
    </row>
    <row r="42" spans="2:15">
      <c r="B42" s="51"/>
      <c r="C42" s="336" t="s">
        <v>1926</v>
      </c>
      <c r="D42" s="304" t="s">
        <v>219</v>
      </c>
      <c r="E42" s="46" t="s">
        <v>1885</v>
      </c>
      <c r="F42" s="341" t="s">
        <v>208</v>
      </c>
      <c r="G42" s="329" t="s">
        <v>208</v>
      </c>
      <c r="H42" s="18" t="s">
        <v>695</v>
      </c>
      <c r="I42" s="15">
        <v>14.69</v>
      </c>
      <c r="J42" s="15">
        <f t="shared" si="2"/>
        <v>14.69</v>
      </c>
      <c r="K42" s="15">
        <v>1</v>
      </c>
      <c r="L42" s="18" t="s">
        <v>268</v>
      </c>
      <c r="M42" s="15" t="s">
        <v>277</v>
      </c>
      <c r="N42" s="15" t="s">
        <v>269</v>
      </c>
      <c r="O42" s="15" t="s">
        <v>360</v>
      </c>
    </row>
    <row r="43" spans="2:15">
      <c r="B43" s="51"/>
      <c r="C43" s="336" t="s">
        <v>1926</v>
      </c>
      <c r="D43" s="304" t="s">
        <v>219</v>
      </c>
      <c r="E43" s="46" t="s">
        <v>1885</v>
      </c>
      <c r="F43" s="341" t="s">
        <v>355</v>
      </c>
      <c r="G43" s="329" t="s">
        <v>205</v>
      </c>
      <c r="H43" s="18" t="s">
        <v>696</v>
      </c>
      <c r="I43" s="15">
        <v>10.9</v>
      </c>
      <c r="J43" s="15">
        <f t="shared" si="2"/>
        <v>10.9</v>
      </c>
      <c r="K43" s="15">
        <v>0</v>
      </c>
      <c r="L43" s="18" t="s">
        <v>268</v>
      </c>
      <c r="M43" s="15" t="s">
        <v>277</v>
      </c>
      <c r="N43" s="15" t="s">
        <v>269</v>
      </c>
      <c r="O43" s="15" t="s">
        <v>360</v>
      </c>
    </row>
    <row r="44" spans="2:15">
      <c r="B44" s="51"/>
      <c r="C44" s="336" t="s">
        <v>1926</v>
      </c>
      <c r="D44" s="304" t="s">
        <v>219</v>
      </c>
      <c r="E44" s="46" t="s">
        <v>1885</v>
      </c>
      <c r="F44" s="341" t="s">
        <v>593</v>
      </c>
      <c r="G44" s="329" t="s">
        <v>892</v>
      </c>
      <c r="H44" s="18" t="s">
        <v>698</v>
      </c>
      <c r="I44" s="15">
        <v>62.41</v>
      </c>
      <c r="J44" s="15">
        <f t="shared" si="2"/>
        <v>62.41</v>
      </c>
      <c r="K44" s="15">
        <v>25</v>
      </c>
      <c r="L44" s="18" t="s">
        <v>268</v>
      </c>
      <c r="M44" s="15" t="s">
        <v>277</v>
      </c>
      <c r="N44" s="15" t="s">
        <v>269</v>
      </c>
      <c r="O44" s="15" t="s">
        <v>360</v>
      </c>
    </row>
    <row r="45" spans="2:15">
      <c r="B45" s="51"/>
      <c r="C45" s="336" t="s">
        <v>1926</v>
      </c>
      <c r="D45" s="304" t="s">
        <v>219</v>
      </c>
      <c r="E45" s="46" t="s">
        <v>1885</v>
      </c>
      <c r="F45" s="341" t="s">
        <v>208</v>
      </c>
      <c r="G45" s="329" t="s">
        <v>208</v>
      </c>
      <c r="H45" s="18" t="s">
        <v>699</v>
      </c>
      <c r="I45" s="15">
        <v>14.69</v>
      </c>
      <c r="J45" s="15">
        <f t="shared" si="2"/>
        <v>14.69</v>
      </c>
      <c r="K45" s="15">
        <v>1</v>
      </c>
      <c r="L45" s="18" t="s">
        <v>268</v>
      </c>
      <c r="M45" s="15" t="s">
        <v>277</v>
      </c>
      <c r="N45" s="15" t="s">
        <v>269</v>
      </c>
      <c r="O45" s="15" t="s">
        <v>360</v>
      </c>
    </row>
    <row r="46" spans="2:15">
      <c r="B46" s="51"/>
      <c r="C46" s="336" t="s">
        <v>1926</v>
      </c>
      <c r="D46" s="304" t="s">
        <v>219</v>
      </c>
      <c r="E46" s="46" t="s">
        <v>1885</v>
      </c>
      <c r="F46" s="341" t="s">
        <v>355</v>
      </c>
      <c r="G46" s="329" t="s">
        <v>205</v>
      </c>
      <c r="H46" s="18" t="s">
        <v>700</v>
      </c>
      <c r="I46" s="15">
        <v>10.9</v>
      </c>
      <c r="J46" s="15">
        <f t="shared" si="2"/>
        <v>10.9</v>
      </c>
      <c r="K46" s="15">
        <v>0</v>
      </c>
      <c r="L46" s="18" t="s">
        <v>268</v>
      </c>
      <c r="M46" s="15" t="s">
        <v>277</v>
      </c>
      <c r="N46" s="15" t="s">
        <v>269</v>
      </c>
      <c r="O46" s="15" t="s">
        <v>360</v>
      </c>
    </row>
    <row r="47" spans="2:15">
      <c r="B47" s="51"/>
      <c r="C47" s="336" t="s">
        <v>1926</v>
      </c>
      <c r="D47" s="304" t="s">
        <v>219</v>
      </c>
      <c r="E47" s="46"/>
      <c r="F47" s="341" t="s">
        <v>192</v>
      </c>
      <c r="G47" s="329" t="s">
        <v>199</v>
      </c>
      <c r="H47" s="18" t="s">
        <v>701</v>
      </c>
      <c r="I47" s="15">
        <v>18.7</v>
      </c>
      <c r="J47" s="15">
        <f t="shared" si="2"/>
        <v>18.7</v>
      </c>
      <c r="L47" s="18" t="s">
        <v>572</v>
      </c>
      <c r="M47" s="15" t="s">
        <v>267</v>
      </c>
      <c r="N47" s="15" t="s">
        <v>269</v>
      </c>
      <c r="O47" s="15" t="s">
        <v>100</v>
      </c>
    </row>
    <row r="48" spans="2:15">
      <c r="B48" s="51"/>
      <c r="C48" s="336" t="s">
        <v>1926</v>
      </c>
      <c r="D48" s="304" t="s">
        <v>219</v>
      </c>
      <c r="E48" s="46"/>
      <c r="F48" s="341" t="s">
        <v>192</v>
      </c>
      <c r="G48" s="329" t="s">
        <v>200</v>
      </c>
      <c r="H48" s="18" t="s">
        <v>702</v>
      </c>
      <c r="I48" s="15">
        <v>18.7</v>
      </c>
      <c r="J48" s="15">
        <f t="shared" si="2"/>
        <v>18.7</v>
      </c>
      <c r="L48" s="18" t="s">
        <v>572</v>
      </c>
      <c r="M48" s="15" t="s">
        <v>267</v>
      </c>
      <c r="N48" s="15" t="s">
        <v>269</v>
      </c>
      <c r="O48" s="15" t="s">
        <v>100</v>
      </c>
    </row>
    <row r="49" spans="1:19">
      <c r="B49" s="51"/>
      <c r="C49" s="336" t="s">
        <v>1926</v>
      </c>
      <c r="D49" s="304" t="s">
        <v>219</v>
      </c>
      <c r="E49" s="46"/>
      <c r="F49" s="341" t="s">
        <v>194</v>
      </c>
      <c r="G49" s="329" t="s">
        <v>194</v>
      </c>
      <c r="H49" s="18" t="s">
        <v>761</v>
      </c>
      <c r="I49" s="15">
        <v>271.14999999999998</v>
      </c>
      <c r="J49" s="15">
        <f t="shared" si="2"/>
        <v>271.14999999999998</v>
      </c>
      <c r="L49" s="18" t="s">
        <v>268</v>
      </c>
      <c r="M49" s="15" t="s">
        <v>277</v>
      </c>
      <c r="N49" s="15" t="s">
        <v>279</v>
      </c>
      <c r="O49" s="15" t="s">
        <v>360</v>
      </c>
    </row>
    <row r="50" spans="1:19">
      <c r="B50" s="51"/>
      <c r="C50" s="336" t="s">
        <v>1926</v>
      </c>
      <c r="D50" s="304" t="s">
        <v>219</v>
      </c>
      <c r="E50" s="46"/>
      <c r="F50" s="341" t="s">
        <v>355</v>
      </c>
      <c r="G50" s="329" t="s">
        <v>205</v>
      </c>
      <c r="H50" s="18" t="s">
        <v>703</v>
      </c>
      <c r="I50" s="15">
        <v>3.94</v>
      </c>
      <c r="J50" s="15">
        <f t="shared" si="2"/>
        <v>3.94</v>
      </c>
      <c r="L50" s="18" t="s">
        <v>268</v>
      </c>
      <c r="M50" s="15" t="s">
        <v>277</v>
      </c>
      <c r="N50" s="15" t="s">
        <v>269</v>
      </c>
      <c r="O50" s="15" t="s">
        <v>360</v>
      </c>
    </row>
    <row r="51" spans="1:19">
      <c r="B51" s="245">
        <f>SUM(I29:I51)</f>
        <v>844.43000000000018</v>
      </c>
      <c r="C51" s="336" t="s">
        <v>1926</v>
      </c>
      <c r="D51" s="304" t="s">
        <v>219</v>
      </c>
      <c r="E51" s="46"/>
      <c r="F51" s="341" t="s">
        <v>355</v>
      </c>
      <c r="G51" s="329" t="s">
        <v>205</v>
      </c>
      <c r="H51" s="18" t="s">
        <v>706</v>
      </c>
      <c r="I51" s="15">
        <v>3.94</v>
      </c>
      <c r="J51" s="15">
        <f t="shared" ref="J51:J61" si="3">I51</f>
        <v>3.94</v>
      </c>
      <c r="L51" s="18" t="s">
        <v>268</v>
      </c>
      <c r="M51" s="15" t="s">
        <v>277</v>
      </c>
      <c r="N51" s="15" t="s">
        <v>269</v>
      </c>
      <c r="O51" s="15" t="s">
        <v>360</v>
      </c>
    </row>
    <row r="52" spans="1:19" ht="15" customHeight="1">
      <c r="A52" s="120"/>
      <c r="B52" s="51"/>
      <c r="C52" s="330" t="s">
        <v>1934</v>
      </c>
      <c r="D52" s="304" t="s">
        <v>219</v>
      </c>
      <c r="E52" s="286"/>
      <c r="F52" s="341" t="s">
        <v>1313</v>
      </c>
      <c r="G52" s="329" t="s">
        <v>202</v>
      </c>
      <c r="H52" s="18" t="s">
        <v>658</v>
      </c>
      <c r="I52" s="15">
        <v>403.2</v>
      </c>
      <c r="J52" s="15">
        <f t="shared" si="3"/>
        <v>403.2</v>
      </c>
      <c r="K52" s="15">
        <v>186</v>
      </c>
      <c r="L52" s="18" t="s">
        <v>268</v>
      </c>
      <c r="M52" s="15" t="s">
        <v>100</v>
      </c>
      <c r="N52" s="15" t="s">
        <v>279</v>
      </c>
      <c r="O52" s="15" t="s">
        <v>100</v>
      </c>
      <c r="Q52" s="1">
        <f>SUM(J52:J58)</f>
        <v>464.40999999999997</v>
      </c>
      <c r="R52" s="3"/>
      <c r="S52" s="3"/>
    </row>
    <row r="53" spans="1:19">
      <c r="A53" s="120"/>
      <c r="B53" s="51"/>
      <c r="C53" s="330" t="s">
        <v>1934</v>
      </c>
      <c r="D53" s="304" t="s">
        <v>219</v>
      </c>
      <c r="E53" s="286"/>
      <c r="F53" s="96" t="s">
        <v>355</v>
      </c>
      <c r="G53" s="329" t="s">
        <v>203</v>
      </c>
      <c r="H53" s="18" t="s">
        <v>659</v>
      </c>
      <c r="I53" s="15">
        <v>14.5</v>
      </c>
      <c r="J53" s="15">
        <f t="shared" si="3"/>
        <v>14.5</v>
      </c>
      <c r="K53" s="15">
        <v>2</v>
      </c>
      <c r="L53" s="18" t="s">
        <v>268</v>
      </c>
      <c r="M53" s="15" t="s">
        <v>267</v>
      </c>
      <c r="N53" s="15" t="s">
        <v>269</v>
      </c>
      <c r="O53" s="15" t="s">
        <v>100</v>
      </c>
      <c r="R53" s="3"/>
      <c r="S53" s="3"/>
    </row>
    <row r="54" spans="1:19">
      <c r="A54" s="120"/>
      <c r="B54" s="51"/>
      <c r="C54" s="330" t="s">
        <v>1934</v>
      </c>
      <c r="D54" s="304" t="s">
        <v>219</v>
      </c>
      <c r="E54" s="286"/>
      <c r="F54" s="96" t="s">
        <v>355</v>
      </c>
      <c r="G54" s="329" t="s">
        <v>204</v>
      </c>
      <c r="H54" s="18" t="s">
        <v>660</v>
      </c>
      <c r="I54" s="15">
        <v>16.84</v>
      </c>
      <c r="J54" s="15">
        <f t="shared" si="3"/>
        <v>16.84</v>
      </c>
      <c r="K54" s="15">
        <v>4</v>
      </c>
      <c r="L54" s="18" t="s">
        <v>268</v>
      </c>
      <c r="M54" s="15" t="s">
        <v>267</v>
      </c>
      <c r="N54" s="15" t="s">
        <v>269</v>
      </c>
      <c r="O54" s="15" t="s">
        <v>100</v>
      </c>
    </row>
    <row r="55" spans="1:19">
      <c r="A55" s="120"/>
      <c r="B55" s="51"/>
      <c r="C55" s="330" t="s">
        <v>1934</v>
      </c>
      <c r="D55" s="304" t="s">
        <v>219</v>
      </c>
      <c r="E55" s="286"/>
      <c r="F55" s="96" t="s">
        <v>355</v>
      </c>
      <c r="G55" s="329" t="s">
        <v>205</v>
      </c>
      <c r="H55" s="18" t="s">
        <v>661</v>
      </c>
      <c r="I55" s="15">
        <v>9.57</v>
      </c>
      <c r="J55" s="15">
        <f t="shared" si="3"/>
        <v>9.57</v>
      </c>
      <c r="K55" s="15">
        <v>0</v>
      </c>
      <c r="L55" s="18" t="s">
        <v>268</v>
      </c>
      <c r="M55" s="15" t="s">
        <v>277</v>
      </c>
      <c r="N55" s="15" t="s">
        <v>269</v>
      </c>
      <c r="O55" s="15" t="s">
        <v>360</v>
      </c>
    </row>
    <row r="56" spans="1:19">
      <c r="A56" s="120"/>
      <c r="B56" s="51"/>
      <c r="C56" s="330" t="s">
        <v>1934</v>
      </c>
      <c r="D56" s="304" t="s">
        <v>219</v>
      </c>
      <c r="E56" s="286"/>
      <c r="F56" s="96" t="s">
        <v>355</v>
      </c>
      <c r="G56" s="329" t="s">
        <v>206</v>
      </c>
      <c r="H56" s="18" t="s">
        <v>662</v>
      </c>
      <c r="I56" s="15">
        <v>4.5999999999999996</v>
      </c>
      <c r="J56" s="15">
        <f t="shared" si="3"/>
        <v>4.5999999999999996</v>
      </c>
      <c r="K56" s="15">
        <v>0</v>
      </c>
      <c r="L56" s="18" t="s">
        <v>268</v>
      </c>
      <c r="M56" s="15" t="s">
        <v>277</v>
      </c>
      <c r="N56" s="15" t="s">
        <v>269</v>
      </c>
      <c r="O56" s="15" t="s">
        <v>360</v>
      </c>
      <c r="S56" s="2"/>
    </row>
    <row r="57" spans="1:19">
      <c r="A57" s="120"/>
      <c r="B57" s="51"/>
      <c r="C57" s="330" t="s">
        <v>1934</v>
      </c>
      <c r="D57" s="304" t="s">
        <v>219</v>
      </c>
      <c r="E57" s="286"/>
      <c r="F57" s="96" t="s">
        <v>355</v>
      </c>
      <c r="G57" s="329" t="s">
        <v>207</v>
      </c>
      <c r="H57" s="18" t="s">
        <v>663</v>
      </c>
      <c r="I57" s="15">
        <v>13.55</v>
      </c>
      <c r="J57" s="15">
        <f t="shared" si="3"/>
        <v>13.55</v>
      </c>
      <c r="K57" s="15">
        <v>0</v>
      </c>
      <c r="L57" s="18" t="s">
        <v>268</v>
      </c>
      <c r="M57" s="15" t="s">
        <v>277</v>
      </c>
      <c r="N57" s="15" t="s">
        <v>279</v>
      </c>
      <c r="O57" s="15" t="s">
        <v>360</v>
      </c>
    </row>
    <row r="58" spans="1:19">
      <c r="A58" s="120"/>
      <c r="B58" s="245">
        <f>SUM(I52:I58)</f>
        <v>464.40999999999997</v>
      </c>
      <c r="C58" s="330" t="s">
        <v>1934</v>
      </c>
      <c r="D58" s="304" t="s">
        <v>219</v>
      </c>
      <c r="E58" s="286"/>
      <c r="F58" s="341" t="s">
        <v>192</v>
      </c>
      <c r="G58" s="329" t="s">
        <v>192</v>
      </c>
      <c r="H58" s="18" t="s">
        <v>664</v>
      </c>
      <c r="I58" s="15">
        <v>2.15</v>
      </c>
      <c r="J58" s="15">
        <f t="shared" si="3"/>
        <v>2.15</v>
      </c>
      <c r="K58" s="15">
        <v>0</v>
      </c>
      <c r="L58" s="18" t="s">
        <v>572</v>
      </c>
      <c r="M58" s="15" t="s">
        <v>267</v>
      </c>
      <c r="N58" s="15" t="s">
        <v>269</v>
      </c>
      <c r="O58" s="15" t="s">
        <v>100</v>
      </c>
    </row>
    <row r="59" spans="1:19" ht="15" customHeight="1">
      <c r="A59" s="120"/>
      <c r="B59" s="51"/>
      <c r="C59" s="337" t="s">
        <v>1935</v>
      </c>
      <c r="D59" s="304" t="s">
        <v>219</v>
      </c>
      <c r="E59" s="46" t="s">
        <v>1885</v>
      </c>
      <c r="F59" s="341" t="s">
        <v>593</v>
      </c>
      <c r="G59" s="329" t="s">
        <v>887</v>
      </c>
      <c r="H59" s="18" t="s">
        <v>1004</v>
      </c>
      <c r="I59" s="15">
        <v>76.61</v>
      </c>
      <c r="J59" s="15">
        <f t="shared" si="3"/>
        <v>76.61</v>
      </c>
      <c r="K59" s="15">
        <v>25</v>
      </c>
      <c r="L59" s="18" t="s">
        <v>268</v>
      </c>
      <c r="M59" s="15" t="s">
        <v>277</v>
      </c>
      <c r="N59" s="15" t="s">
        <v>269</v>
      </c>
      <c r="O59" s="15" t="s">
        <v>360</v>
      </c>
      <c r="R59" s="3"/>
      <c r="S59" s="3"/>
    </row>
    <row r="60" spans="1:19">
      <c r="A60" s="120"/>
      <c r="B60" s="51"/>
      <c r="C60" s="337" t="s">
        <v>1935</v>
      </c>
      <c r="D60" s="304" t="s">
        <v>219</v>
      </c>
      <c r="E60" s="46" t="s">
        <v>1885</v>
      </c>
      <c r="F60" s="341" t="s">
        <v>593</v>
      </c>
      <c r="G60" s="329" t="s">
        <v>1994</v>
      </c>
      <c r="H60" s="18" t="s">
        <v>1005</v>
      </c>
      <c r="I60" s="15">
        <v>76.61</v>
      </c>
      <c r="J60" s="15">
        <f t="shared" si="3"/>
        <v>76.61</v>
      </c>
      <c r="K60" s="15">
        <v>25</v>
      </c>
      <c r="L60" s="18" t="s">
        <v>268</v>
      </c>
      <c r="M60" s="15" t="s">
        <v>277</v>
      </c>
      <c r="N60" s="15" t="s">
        <v>269</v>
      </c>
      <c r="O60" s="15" t="s">
        <v>360</v>
      </c>
    </row>
    <row r="61" spans="1:19" ht="15" customHeight="1">
      <c r="A61" s="120"/>
      <c r="B61" s="51"/>
      <c r="C61" s="337" t="s">
        <v>1935</v>
      </c>
      <c r="D61" s="304" t="s">
        <v>219</v>
      </c>
      <c r="E61" s="46" t="s">
        <v>1885</v>
      </c>
      <c r="F61" s="341" t="s">
        <v>593</v>
      </c>
      <c r="G61" s="329" t="s">
        <v>886</v>
      </c>
      <c r="H61" s="18" t="s">
        <v>1006</v>
      </c>
      <c r="I61" s="15">
        <v>76.61</v>
      </c>
      <c r="J61" s="15">
        <f t="shared" si="3"/>
        <v>76.61</v>
      </c>
      <c r="K61" s="15">
        <v>25</v>
      </c>
      <c r="L61" s="18" t="s">
        <v>268</v>
      </c>
      <c r="M61" s="15" t="s">
        <v>277</v>
      </c>
      <c r="N61" s="15" t="s">
        <v>269</v>
      </c>
      <c r="O61" s="15" t="s">
        <v>360</v>
      </c>
    </row>
    <row r="62" spans="1:19">
      <c r="A62" s="143"/>
      <c r="B62" s="51"/>
      <c r="C62" s="337" t="s">
        <v>1935</v>
      </c>
      <c r="D62" s="304" t="s">
        <v>219</v>
      </c>
      <c r="E62" s="46" t="s">
        <v>1885</v>
      </c>
      <c r="F62" s="635" t="s">
        <v>593</v>
      </c>
      <c r="G62" s="329" t="s">
        <v>898</v>
      </c>
      <c r="H62" s="638" t="s">
        <v>1007</v>
      </c>
      <c r="I62" s="640">
        <v>76.61</v>
      </c>
      <c r="J62" s="640">
        <v>76.61</v>
      </c>
      <c r="K62" s="640">
        <v>30</v>
      </c>
      <c r="L62" s="18" t="s">
        <v>268</v>
      </c>
      <c r="M62" s="15" t="s">
        <v>277</v>
      </c>
      <c r="N62" s="15" t="s">
        <v>269</v>
      </c>
      <c r="O62" s="15" t="s">
        <v>360</v>
      </c>
      <c r="Q62" s="1">
        <f>SUM(J62:J71)</f>
        <v>524.84999999999991</v>
      </c>
      <c r="R62" s="3"/>
      <c r="S62" s="3"/>
    </row>
    <row r="63" spans="1:19" ht="15" customHeight="1">
      <c r="A63" s="120"/>
      <c r="B63" s="51"/>
      <c r="C63" s="337" t="s">
        <v>1935</v>
      </c>
      <c r="D63" s="304" t="s">
        <v>219</v>
      </c>
      <c r="E63" s="46" t="s">
        <v>1885</v>
      </c>
      <c r="F63" s="636"/>
      <c r="G63" s="329"/>
      <c r="H63" s="639"/>
      <c r="I63" s="641"/>
      <c r="J63" s="641"/>
      <c r="K63" s="641"/>
      <c r="L63" s="18" t="s">
        <v>268</v>
      </c>
      <c r="M63" s="15" t="s">
        <v>277</v>
      </c>
      <c r="N63" s="15" t="s">
        <v>269</v>
      </c>
      <c r="O63" s="15" t="s">
        <v>360</v>
      </c>
      <c r="R63" s="3"/>
      <c r="S63" s="3"/>
    </row>
    <row r="64" spans="1:19" ht="25.5" customHeight="1">
      <c r="A64" s="120"/>
      <c r="B64" s="51"/>
      <c r="C64" s="337" t="s">
        <v>1935</v>
      </c>
      <c r="D64" s="304" t="s">
        <v>219</v>
      </c>
      <c r="E64" s="46" t="s">
        <v>1885</v>
      </c>
      <c r="F64" s="341" t="s">
        <v>593</v>
      </c>
      <c r="G64" s="329" t="s">
        <v>1993</v>
      </c>
      <c r="H64" s="18" t="s">
        <v>1010</v>
      </c>
      <c r="I64" s="15">
        <v>76.61</v>
      </c>
      <c r="J64" s="15">
        <f t="shared" ref="J64:J70" si="4">I64</f>
        <v>76.61</v>
      </c>
      <c r="K64" s="15">
        <v>12</v>
      </c>
      <c r="L64" s="18" t="s">
        <v>268</v>
      </c>
      <c r="M64" s="15" t="s">
        <v>277</v>
      </c>
      <c r="N64" s="15" t="s">
        <v>269</v>
      </c>
      <c r="O64" s="15" t="s">
        <v>360</v>
      </c>
      <c r="R64" s="3"/>
      <c r="S64" s="3"/>
    </row>
    <row r="65" spans="1:21">
      <c r="A65" s="120"/>
      <c r="B65" s="51"/>
      <c r="C65" s="337" t="s">
        <v>1935</v>
      </c>
      <c r="D65" s="304" t="s">
        <v>219</v>
      </c>
      <c r="E65" s="46" t="s">
        <v>1885</v>
      </c>
      <c r="F65" s="341" t="s">
        <v>593</v>
      </c>
      <c r="G65" s="329" t="s">
        <v>1992</v>
      </c>
      <c r="H65" s="18" t="s">
        <v>1011</v>
      </c>
      <c r="I65" s="15">
        <v>37.799999999999997</v>
      </c>
      <c r="J65" s="15">
        <v>37.799999999999997</v>
      </c>
      <c r="K65" s="15">
        <v>10</v>
      </c>
      <c r="L65" s="18" t="s">
        <v>268</v>
      </c>
      <c r="M65" s="15" t="s">
        <v>277</v>
      </c>
      <c r="N65" s="15" t="s">
        <v>269</v>
      </c>
      <c r="O65" s="15" t="s">
        <v>360</v>
      </c>
    </row>
    <row r="66" spans="1:21" ht="15" customHeight="1">
      <c r="A66" s="120"/>
      <c r="B66" s="51"/>
      <c r="C66" s="337" t="s">
        <v>1935</v>
      </c>
      <c r="D66" s="304" t="s">
        <v>219</v>
      </c>
      <c r="E66" s="46" t="s">
        <v>1885</v>
      </c>
      <c r="F66" s="341" t="s">
        <v>593</v>
      </c>
      <c r="G66" s="329" t="s">
        <v>1312</v>
      </c>
      <c r="H66" s="18" t="s">
        <v>1012</v>
      </c>
      <c r="I66" s="15">
        <v>16.88</v>
      </c>
      <c r="J66" s="15">
        <f>I66</f>
        <v>16.88</v>
      </c>
      <c r="L66" s="18"/>
    </row>
    <row r="67" spans="1:21">
      <c r="A67" s="120"/>
      <c r="B67" s="51"/>
      <c r="C67" s="337" t="s">
        <v>1935</v>
      </c>
      <c r="D67" s="304" t="s">
        <v>219</v>
      </c>
      <c r="E67" s="287"/>
      <c r="F67" s="341" t="s">
        <v>355</v>
      </c>
      <c r="G67" s="329" t="s">
        <v>198</v>
      </c>
      <c r="H67" s="18" t="s">
        <v>654</v>
      </c>
      <c r="I67" s="15">
        <v>5.7</v>
      </c>
      <c r="J67" s="15">
        <f t="shared" si="4"/>
        <v>5.7</v>
      </c>
      <c r="L67" s="18" t="s">
        <v>268</v>
      </c>
      <c r="M67" s="15" t="s">
        <v>277</v>
      </c>
      <c r="N67" s="15" t="s">
        <v>269</v>
      </c>
      <c r="O67" s="15" t="s">
        <v>360</v>
      </c>
      <c r="R67" s="3"/>
      <c r="S67" s="3"/>
    </row>
    <row r="68" spans="1:21">
      <c r="A68" s="120"/>
      <c r="B68" s="51"/>
      <c r="C68" s="337" t="s">
        <v>1935</v>
      </c>
      <c r="D68" s="304" t="s">
        <v>219</v>
      </c>
      <c r="E68" s="287"/>
      <c r="F68" s="341" t="s">
        <v>355</v>
      </c>
      <c r="G68" s="329" t="s">
        <v>198</v>
      </c>
      <c r="H68" s="18" t="s">
        <v>655</v>
      </c>
      <c r="I68" s="15">
        <v>5.7</v>
      </c>
      <c r="J68" s="15">
        <f t="shared" si="4"/>
        <v>5.7</v>
      </c>
      <c r="L68" s="18" t="s">
        <v>268</v>
      </c>
      <c r="M68" s="15" t="s">
        <v>277</v>
      </c>
      <c r="N68" s="15" t="s">
        <v>269</v>
      </c>
      <c r="O68" s="15" t="s">
        <v>360</v>
      </c>
      <c r="R68" s="3"/>
      <c r="S68" s="3"/>
    </row>
    <row r="69" spans="1:21">
      <c r="A69" s="120"/>
      <c r="B69" s="51"/>
      <c r="C69" s="337" t="s">
        <v>1935</v>
      </c>
      <c r="D69" s="304" t="s">
        <v>219</v>
      </c>
      <c r="E69" s="287"/>
      <c r="F69" s="341" t="s">
        <v>192</v>
      </c>
      <c r="G69" s="329" t="s">
        <v>199</v>
      </c>
      <c r="H69" s="18" t="s">
        <v>656</v>
      </c>
      <c r="I69" s="15">
        <v>18.7</v>
      </c>
      <c r="J69" s="15">
        <f t="shared" si="4"/>
        <v>18.7</v>
      </c>
      <c r="L69" s="18" t="s">
        <v>572</v>
      </c>
      <c r="M69" s="15" t="s">
        <v>267</v>
      </c>
      <c r="N69" s="15" t="s">
        <v>269</v>
      </c>
      <c r="O69" s="15" t="s">
        <v>100</v>
      </c>
      <c r="R69" s="3"/>
      <c r="S69" s="3"/>
    </row>
    <row r="70" spans="1:21">
      <c r="A70" s="120"/>
      <c r="B70" s="51"/>
      <c r="C70" s="337" t="s">
        <v>1935</v>
      </c>
      <c r="D70" s="304" t="s">
        <v>219</v>
      </c>
      <c r="E70" s="287"/>
      <c r="F70" s="341" t="s">
        <v>192</v>
      </c>
      <c r="G70" s="329" t="s">
        <v>200</v>
      </c>
      <c r="H70" s="18" t="s">
        <v>657</v>
      </c>
      <c r="I70" s="15">
        <v>18.7</v>
      </c>
      <c r="J70" s="15">
        <f t="shared" si="4"/>
        <v>18.7</v>
      </c>
      <c r="L70" s="18" t="s">
        <v>572</v>
      </c>
      <c r="M70" s="15" t="s">
        <v>267</v>
      </c>
      <c r="N70" s="15" t="s">
        <v>269</v>
      </c>
      <c r="O70" s="15" t="s">
        <v>100</v>
      </c>
      <c r="R70" s="3"/>
      <c r="S70" s="3"/>
      <c r="U70" s="1"/>
    </row>
    <row r="71" spans="1:21">
      <c r="A71" s="120"/>
      <c r="B71" s="245">
        <f>SUM(I59:I71)</f>
        <v>754.68</v>
      </c>
      <c r="C71" s="337" t="s">
        <v>1935</v>
      </c>
      <c r="D71" s="304" t="s">
        <v>219</v>
      </c>
      <c r="E71" s="106"/>
      <c r="F71" s="341" t="s">
        <v>194</v>
      </c>
      <c r="G71" s="329" t="s">
        <v>194</v>
      </c>
      <c r="H71" s="18" t="s">
        <v>758</v>
      </c>
      <c r="I71" s="15">
        <v>268.14999999999998</v>
      </c>
      <c r="J71" s="15">
        <f t="shared" ref="J71" si="5">I71</f>
        <v>268.14999999999998</v>
      </c>
      <c r="L71" s="18" t="s">
        <v>268</v>
      </c>
      <c r="M71" s="15" t="s">
        <v>278</v>
      </c>
      <c r="N71" s="15" t="s">
        <v>279</v>
      </c>
      <c r="O71" s="15" t="s">
        <v>360</v>
      </c>
      <c r="R71" s="3"/>
      <c r="S71" s="3"/>
    </row>
    <row r="72" spans="1:21">
      <c r="B72" s="51"/>
      <c r="C72" s="330" t="s">
        <v>1936</v>
      </c>
      <c r="D72" s="304" t="s">
        <v>219</v>
      </c>
      <c r="E72" s="46" t="s">
        <v>1885</v>
      </c>
      <c r="F72" s="341" t="s">
        <v>210</v>
      </c>
      <c r="G72" s="329" t="s">
        <v>210</v>
      </c>
      <c r="H72" s="18" t="s">
        <v>674</v>
      </c>
      <c r="I72" s="15">
        <v>192.38</v>
      </c>
      <c r="J72" s="15">
        <f t="shared" ref="J72:J79" si="6">I72</f>
        <v>192.38</v>
      </c>
      <c r="L72" s="18" t="s">
        <v>268</v>
      </c>
      <c r="M72" s="15" t="s">
        <v>277</v>
      </c>
      <c r="N72" s="15" t="s">
        <v>279</v>
      </c>
      <c r="O72" s="15" t="s">
        <v>360</v>
      </c>
      <c r="Q72" s="1">
        <f>SUM(J72:J79)</f>
        <v>395.97</v>
      </c>
    </row>
    <row r="73" spans="1:21">
      <c r="B73" s="51"/>
      <c r="C73" s="330" t="s">
        <v>1936</v>
      </c>
      <c r="D73" s="304" t="s">
        <v>219</v>
      </c>
      <c r="E73" s="46" t="s">
        <v>1885</v>
      </c>
      <c r="F73" s="341" t="s">
        <v>593</v>
      </c>
      <c r="G73" s="329" t="s">
        <v>905</v>
      </c>
      <c r="H73" s="18" t="s">
        <v>675</v>
      </c>
      <c r="I73" s="15">
        <v>62.3</v>
      </c>
      <c r="J73" s="15">
        <f t="shared" si="6"/>
        <v>62.3</v>
      </c>
      <c r="K73" s="15">
        <v>40</v>
      </c>
      <c r="L73" s="18" t="s">
        <v>268</v>
      </c>
      <c r="M73" s="15" t="s">
        <v>277</v>
      </c>
      <c r="N73" s="15" t="s">
        <v>269</v>
      </c>
      <c r="O73" s="15" t="s">
        <v>360</v>
      </c>
    </row>
    <row r="74" spans="1:21">
      <c r="B74" s="51"/>
      <c r="C74" s="330" t="s">
        <v>1936</v>
      </c>
      <c r="D74" s="304" t="s">
        <v>219</v>
      </c>
      <c r="E74" s="46" t="s">
        <v>1885</v>
      </c>
      <c r="F74" s="341" t="s">
        <v>248</v>
      </c>
      <c r="G74" s="329" t="s">
        <v>76</v>
      </c>
      <c r="H74" s="18" t="s">
        <v>676</v>
      </c>
      <c r="I74" s="15">
        <v>53.33</v>
      </c>
      <c r="J74" s="15">
        <f t="shared" si="6"/>
        <v>53.33</v>
      </c>
      <c r="K74" s="15">
        <v>25</v>
      </c>
      <c r="L74" s="18" t="s">
        <v>268</v>
      </c>
      <c r="M74" s="15" t="s">
        <v>277</v>
      </c>
      <c r="N74" s="15" t="s">
        <v>269</v>
      </c>
      <c r="O74" s="15" t="s">
        <v>360</v>
      </c>
    </row>
    <row r="75" spans="1:21">
      <c r="B75" s="51"/>
      <c r="C75" s="330" t="s">
        <v>1936</v>
      </c>
      <c r="D75" s="304" t="s">
        <v>219</v>
      </c>
      <c r="E75" s="46" t="s">
        <v>1885</v>
      </c>
      <c r="F75" s="341" t="s">
        <v>211</v>
      </c>
      <c r="G75" s="329" t="s">
        <v>211</v>
      </c>
      <c r="H75" s="18" t="s">
        <v>677</v>
      </c>
      <c r="I75" s="15">
        <v>31.36</v>
      </c>
      <c r="J75" s="15">
        <f t="shared" si="6"/>
        <v>31.36</v>
      </c>
      <c r="K75" s="15">
        <v>0</v>
      </c>
      <c r="L75" s="18" t="s">
        <v>268</v>
      </c>
      <c r="M75" s="15" t="s">
        <v>277</v>
      </c>
      <c r="N75" s="15" t="s">
        <v>269</v>
      </c>
      <c r="O75" s="15" t="s">
        <v>360</v>
      </c>
    </row>
    <row r="76" spans="1:21">
      <c r="B76" s="51"/>
      <c r="C76" s="330" t="s">
        <v>1936</v>
      </c>
      <c r="D76" s="304" t="s">
        <v>219</v>
      </c>
      <c r="E76" s="46" t="s">
        <v>1885</v>
      </c>
      <c r="F76" s="341" t="s">
        <v>249</v>
      </c>
      <c r="G76" s="329" t="s">
        <v>212</v>
      </c>
      <c r="H76" s="18" t="s">
        <v>678</v>
      </c>
      <c r="I76" s="15">
        <v>18.5</v>
      </c>
      <c r="J76" s="15">
        <f t="shared" si="6"/>
        <v>18.5</v>
      </c>
      <c r="K76" s="15">
        <v>3</v>
      </c>
      <c r="L76" s="18" t="s">
        <v>268</v>
      </c>
      <c r="M76" s="15" t="s">
        <v>277</v>
      </c>
      <c r="N76" s="15" t="s">
        <v>269</v>
      </c>
      <c r="O76" s="15" t="s">
        <v>360</v>
      </c>
    </row>
    <row r="77" spans="1:21">
      <c r="B77" s="51"/>
      <c r="C77" s="330" t="s">
        <v>1936</v>
      </c>
      <c r="D77" s="304" t="s">
        <v>219</v>
      </c>
      <c r="E77" s="46"/>
      <c r="F77" s="341" t="s">
        <v>192</v>
      </c>
      <c r="G77" s="329" t="s">
        <v>199</v>
      </c>
      <c r="H77" s="18" t="s">
        <v>679</v>
      </c>
      <c r="I77" s="15">
        <v>15.3</v>
      </c>
      <c r="J77" s="15">
        <f t="shared" si="6"/>
        <v>15.3</v>
      </c>
      <c r="L77" s="18" t="s">
        <v>572</v>
      </c>
      <c r="M77" s="15" t="s">
        <v>267</v>
      </c>
      <c r="N77" s="15" t="s">
        <v>269</v>
      </c>
      <c r="O77" s="15" t="s">
        <v>100</v>
      </c>
      <c r="S77" s="2"/>
    </row>
    <row r="78" spans="1:21">
      <c r="B78" s="51"/>
      <c r="C78" s="330" t="s">
        <v>1936</v>
      </c>
      <c r="D78" s="304" t="s">
        <v>219</v>
      </c>
      <c r="E78" s="46"/>
      <c r="F78" s="341" t="s">
        <v>192</v>
      </c>
      <c r="G78" s="329" t="s">
        <v>200</v>
      </c>
      <c r="H78" s="18" t="s">
        <v>680</v>
      </c>
      <c r="I78" s="15">
        <v>15.3</v>
      </c>
      <c r="J78" s="15">
        <f t="shared" si="6"/>
        <v>15.3</v>
      </c>
      <c r="L78" s="18" t="s">
        <v>572</v>
      </c>
      <c r="M78" s="15" t="s">
        <v>267</v>
      </c>
      <c r="N78" s="15" t="s">
        <v>269</v>
      </c>
      <c r="O78" s="15" t="s">
        <v>100</v>
      </c>
    </row>
    <row r="79" spans="1:21">
      <c r="B79" s="245">
        <f>SUM(I72:I79)</f>
        <v>395.97</v>
      </c>
      <c r="C79" s="330" t="s">
        <v>1936</v>
      </c>
      <c r="D79" s="304" t="s">
        <v>219</v>
      </c>
      <c r="E79" s="46"/>
      <c r="F79" s="341" t="s">
        <v>194</v>
      </c>
      <c r="G79" s="329" t="s">
        <v>194</v>
      </c>
      <c r="H79" s="18" t="s">
        <v>760</v>
      </c>
      <c r="I79" s="15">
        <v>7.5</v>
      </c>
      <c r="J79" s="15">
        <f t="shared" si="6"/>
        <v>7.5</v>
      </c>
      <c r="L79" s="18" t="s">
        <v>268</v>
      </c>
      <c r="M79" s="15" t="s">
        <v>277</v>
      </c>
      <c r="N79" s="15" t="s">
        <v>269</v>
      </c>
      <c r="O79" s="15" t="s">
        <v>360</v>
      </c>
      <c r="T79" s="7"/>
    </row>
    <row r="80" spans="1:21" ht="15" customHeight="1">
      <c r="B80" s="51"/>
      <c r="C80" s="338" t="s">
        <v>1937</v>
      </c>
      <c r="D80" s="304" t="s">
        <v>219</v>
      </c>
      <c r="E80" s="46"/>
      <c r="F80" s="341" t="s">
        <v>109</v>
      </c>
      <c r="G80" s="329" t="s">
        <v>220</v>
      </c>
      <c r="H80" s="18" t="s">
        <v>717</v>
      </c>
      <c r="I80" s="15">
        <v>59.24</v>
      </c>
      <c r="J80" s="15">
        <f>I80</f>
        <v>59.24</v>
      </c>
      <c r="K80" s="15">
        <f>5*5</f>
        <v>25</v>
      </c>
      <c r="L80" s="18" t="s">
        <v>268</v>
      </c>
      <c r="M80" s="15" t="s">
        <v>269</v>
      </c>
      <c r="N80" s="15" t="s">
        <v>280</v>
      </c>
      <c r="O80" s="15" t="s">
        <v>360</v>
      </c>
      <c r="Q80" s="1">
        <f>SUM(J80:J183)</f>
        <v>3092.0899999999992</v>
      </c>
      <c r="S80" s="2"/>
    </row>
    <row r="81" spans="2:19">
      <c r="B81" s="51"/>
      <c r="C81" s="338" t="s">
        <v>1937</v>
      </c>
      <c r="D81" s="304" t="s">
        <v>219</v>
      </c>
      <c r="E81" s="46"/>
      <c r="F81" s="341" t="s">
        <v>109</v>
      </c>
      <c r="G81" s="329" t="s">
        <v>221</v>
      </c>
      <c r="H81" s="18" t="s">
        <v>765</v>
      </c>
      <c r="I81" s="15">
        <v>13.13</v>
      </c>
      <c r="J81" s="15">
        <f>I81</f>
        <v>13.13</v>
      </c>
      <c r="L81" s="18" t="s">
        <v>268</v>
      </c>
      <c r="M81" s="15" t="s">
        <v>269</v>
      </c>
      <c r="N81" s="15" t="s">
        <v>280</v>
      </c>
      <c r="O81" s="15" t="s">
        <v>360</v>
      </c>
    </row>
    <row r="82" spans="2:19">
      <c r="B82" s="51"/>
      <c r="C82" s="338" t="s">
        <v>1937</v>
      </c>
      <c r="D82" s="304" t="s">
        <v>219</v>
      </c>
      <c r="E82" s="46"/>
      <c r="F82" s="341" t="s">
        <v>109</v>
      </c>
      <c r="G82" s="329" t="s">
        <v>222</v>
      </c>
      <c r="H82" s="18" t="s">
        <v>718</v>
      </c>
      <c r="I82" s="15">
        <v>8.33</v>
      </c>
      <c r="J82" s="15">
        <f t="shared" ref="J82:J97" si="7">I82</f>
        <v>8.33</v>
      </c>
      <c r="K82" s="15">
        <v>2</v>
      </c>
      <c r="L82" s="18" t="s">
        <v>268</v>
      </c>
      <c r="M82" s="15" t="s">
        <v>269</v>
      </c>
      <c r="N82" s="15" t="s">
        <v>280</v>
      </c>
      <c r="O82" s="15" t="s">
        <v>360</v>
      </c>
      <c r="S82" s="3"/>
    </row>
    <row r="83" spans="2:19">
      <c r="B83" s="51"/>
      <c r="C83" s="338" t="s">
        <v>1937</v>
      </c>
      <c r="D83" s="304" t="s">
        <v>219</v>
      </c>
      <c r="E83" s="46"/>
      <c r="F83" s="341" t="s">
        <v>109</v>
      </c>
      <c r="G83" s="329" t="s">
        <v>223</v>
      </c>
      <c r="H83" s="18" t="s">
        <v>719</v>
      </c>
      <c r="I83" s="15">
        <v>6.79</v>
      </c>
      <c r="J83" s="15">
        <f t="shared" si="7"/>
        <v>6.79</v>
      </c>
      <c r="L83" s="18" t="s">
        <v>268</v>
      </c>
      <c r="M83" s="15" t="s">
        <v>269</v>
      </c>
      <c r="N83" s="15" t="s">
        <v>280</v>
      </c>
      <c r="O83" s="15" t="s">
        <v>360</v>
      </c>
    </row>
    <row r="84" spans="2:19">
      <c r="B84" s="51"/>
      <c r="C84" s="338" t="s">
        <v>1937</v>
      </c>
      <c r="D84" s="304" t="s">
        <v>219</v>
      </c>
      <c r="E84" s="46"/>
      <c r="F84" s="341" t="s">
        <v>109</v>
      </c>
      <c r="G84" s="329" t="s">
        <v>224</v>
      </c>
      <c r="H84" s="18" t="s">
        <v>720</v>
      </c>
      <c r="I84" s="15">
        <v>7</v>
      </c>
      <c r="J84" s="15">
        <f t="shared" si="7"/>
        <v>7</v>
      </c>
      <c r="L84" s="18" t="s">
        <v>268</v>
      </c>
      <c r="M84" s="15" t="s">
        <v>269</v>
      </c>
      <c r="N84" s="15" t="s">
        <v>280</v>
      </c>
      <c r="O84" s="15" t="s">
        <v>360</v>
      </c>
    </row>
    <row r="85" spans="2:19">
      <c r="B85" s="51"/>
      <c r="C85" s="338" t="s">
        <v>1937</v>
      </c>
      <c r="D85" s="304" t="s">
        <v>219</v>
      </c>
      <c r="E85" s="46"/>
      <c r="F85" s="341" t="s">
        <v>109</v>
      </c>
      <c r="G85" s="329" t="s">
        <v>225</v>
      </c>
      <c r="H85" s="18" t="s">
        <v>721</v>
      </c>
      <c r="I85" s="15">
        <v>13.68</v>
      </c>
      <c r="J85" s="15">
        <f t="shared" si="7"/>
        <v>13.68</v>
      </c>
      <c r="K85" s="15">
        <v>2</v>
      </c>
      <c r="L85" s="18" t="s">
        <v>268</v>
      </c>
      <c r="M85" s="15" t="s">
        <v>269</v>
      </c>
      <c r="N85" s="15" t="s">
        <v>280</v>
      </c>
      <c r="O85" s="15" t="s">
        <v>360</v>
      </c>
      <c r="S85" s="2"/>
    </row>
    <row r="86" spans="2:19">
      <c r="B86" s="51"/>
      <c r="C86" s="338" t="s">
        <v>1937</v>
      </c>
      <c r="D86" s="304" t="s">
        <v>219</v>
      </c>
      <c r="E86" s="46"/>
      <c r="F86" s="341" t="s">
        <v>109</v>
      </c>
      <c r="G86" s="329" t="s">
        <v>226</v>
      </c>
      <c r="H86" s="18" t="s">
        <v>722</v>
      </c>
      <c r="I86" s="15">
        <v>117.46</v>
      </c>
      <c r="J86" s="15">
        <f t="shared" si="7"/>
        <v>117.46</v>
      </c>
      <c r="K86" s="15">
        <v>0</v>
      </c>
      <c r="L86" s="18" t="s">
        <v>268</v>
      </c>
      <c r="M86" s="15" t="s">
        <v>269</v>
      </c>
      <c r="N86" s="15" t="s">
        <v>280</v>
      </c>
      <c r="O86" s="15" t="s">
        <v>360</v>
      </c>
    </row>
    <row r="87" spans="2:19">
      <c r="B87" s="51"/>
      <c r="C87" s="338" t="s">
        <v>1937</v>
      </c>
      <c r="D87" s="304" t="s">
        <v>219</v>
      </c>
      <c r="E87" s="46"/>
      <c r="F87" s="341" t="s">
        <v>109</v>
      </c>
      <c r="G87" s="329" t="s">
        <v>227</v>
      </c>
      <c r="H87" s="18" t="s">
        <v>723</v>
      </c>
      <c r="I87" s="15">
        <v>87.61</v>
      </c>
      <c r="J87" s="15">
        <f t="shared" si="7"/>
        <v>87.61</v>
      </c>
      <c r="K87" s="15">
        <v>60</v>
      </c>
      <c r="L87" s="18" t="s">
        <v>268</v>
      </c>
      <c r="M87" s="15" t="s">
        <v>269</v>
      </c>
      <c r="N87" s="15" t="s">
        <v>280</v>
      </c>
      <c r="O87" s="15" t="s">
        <v>360</v>
      </c>
    </row>
    <row r="88" spans="2:19">
      <c r="B88" s="51"/>
      <c r="C88" s="338" t="s">
        <v>1937</v>
      </c>
      <c r="D88" s="304" t="s">
        <v>219</v>
      </c>
      <c r="E88" s="46"/>
      <c r="F88" s="341" t="s">
        <v>109</v>
      </c>
      <c r="G88" s="329" t="s">
        <v>228</v>
      </c>
      <c r="H88" s="18" t="s">
        <v>724</v>
      </c>
      <c r="I88" s="15">
        <v>11.71</v>
      </c>
      <c r="J88" s="15">
        <f t="shared" si="7"/>
        <v>11.71</v>
      </c>
      <c r="K88" s="15">
        <v>8</v>
      </c>
      <c r="L88" s="18" t="s">
        <v>268</v>
      </c>
      <c r="M88" s="15" t="s">
        <v>269</v>
      </c>
      <c r="N88" s="15" t="s">
        <v>280</v>
      </c>
      <c r="O88" s="15" t="s">
        <v>360</v>
      </c>
    </row>
    <row r="89" spans="2:19">
      <c r="B89" s="51"/>
      <c r="C89" s="338" t="s">
        <v>1937</v>
      </c>
      <c r="D89" s="304" t="s">
        <v>219</v>
      </c>
      <c r="E89" s="46"/>
      <c r="F89" s="341" t="s">
        <v>109</v>
      </c>
      <c r="G89" s="329" t="s">
        <v>229</v>
      </c>
      <c r="H89" s="18" t="s">
        <v>725</v>
      </c>
      <c r="I89" s="15">
        <v>14.01</v>
      </c>
      <c r="J89" s="15">
        <f t="shared" si="7"/>
        <v>14.01</v>
      </c>
      <c r="K89" s="15">
        <v>8</v>
      </c>
      <c r="L89" s="18" t="s">
        <v>268</v>
      </c>
      <c r="M89" s="15" t="s">
        <v>269</v>
      </c>
      <c r="N89" s="15" t="s">
        <v>280</v>
      </c>
      <c r="O89" s="15" t="s">
        <v>360</v>
      </c>
    </row>
    <row r="90" spans="2:19">
      <c r="B90" s="51"/>
      <c r="C90" s="338" t="s">
        <v>1937</v>
      </c>
      <c r="D90" s="304" t="s">
        <v>219</v>
      </c>
      <c r="E90" s="46"/>
      <c r="F90" s="341" t="s">
        <v>109</v>
      </c>
      <c r="G90" s="329" t="s">
        <v>230</v>
      </c>
      <c r="H90" s="18" t="s">
        <v>726</v>
      </c>
      <c r="I90" s="15">
        <v>11.76</v>
      </c>
      <c r="J90" s="15">
        <f t="shared" si="7"/>
        <v>11.76</v>
      </c>
      <c r="K90" s="15">
        <v>5</v>
      </c>
      <c r="L90" s="18" t="s">
        <v>268</v>
      </c>
      <c r="M90" s="15" t="s">
        <v>269</v>
      </c>
      <c r="N90" s="15" t="s">
        <v>280</v>
      </c>
      <c r="O90" s="15" t="s">
        <v>360</v>
      </c>
    </row>
    <row r="91" spans="2:19">
      <c r="B91" s="51"/>
      <c r="C91" s="338" t="s">
        <v>1937</v>
      </c>
      <c r="D91" s="304" t="s">
        <v>219</v>
      </c>
      <c r="E91" s="46"/>
      <c r="F91" s="341" t="s">
        <v>109</v>
      </c>
      <c r="G91" s="329" t="s">
        <v>231</v>
      </c>
      <c r="H91" s="18" t="s">
        <v>727</v>
      </c>
      <c r="I91" s="15">
        <v>21.46</v>
      </c>
      <c r="J91" s="15">
        <f t="shared" si="7"/>
        <v>21.46</v>
      </c>
      <c r="K91" s="15">
        <v>3</v>
      </c>
      <c r="L91" s="18" t="s">
        <v>268</v>
      </c>
      <c r="M91" s="15" t="s">
        <v>269</v>
      </c>
      <c r="N91" s="15" t="s">
        <v>280</v>
      </c>
      <c r="O91" s="15" t="s">
        <v>360</v>
      </c>
    </row>
    <row r="92" spans="2:19">
      <c r="B92" s="51"/>
      <c r="C92" s="338" t="s">
        <v>1937</v>
      </c>
      <c r="D92" s="304" t="s">
        <v>219</v>
      </c>
      <c r="E92" s="46"/>
      <c r="F92" s="341" t="s">
        <v>109</v>
      </c>
      <c r="G92" s="329" t="s">
        <v>232</v>
      </c>
      <c r="H92" s="18" t="s">
        <v>728</v>
      </c>
      <c r="I92" s="15">
        <v>21.38</v>
      </c>
      <c r="J92" s="15">
        <f t="shared" si="7"/>
        <v>21.38</v>
      </c>
      <c r="K92" s="15">
        <v>1</v>
      </c>
      <c r="L92" s="18" t="s">
        <v>268</v>
      </c>
      <c r="M92" s="15" t="s">
        <v>269</v>
      </c>
      <c r="N92" s="15" t="s">
        <v>280</v>
      </c>
      <c r="O92" s="15" t="s">
        <v>360</v>
      </c>
    </row>
    <row r="93" spans="2:19">
      <c r="B93" s="51"/>
      <c r="C93" s="338" t="s">
        <v>1937</v>
      </c>
      <c r="D93" s="304" t="s">
        <v>219</v>
      </c>
      <c r="E93" s="46"/>
      <c r="F93" s="341" t="s">
        <v>194</v>
      </c>
      <c r="G93" s="329" t="s">
        <v>221</v>
      </c>
      <c r="H93" s="18" t="s">
        <v>766</v>
      </c>
      <c r="I93" s="15">
        <v>50.4</v>
      </c>
      <c r="J93" s="15">
        <f t="shared" si="7"/>
        <v>50.4</v>
      </c>
      <c r="L93" s="18" t="s">
        <v>268</v>
      </c>
      <c r="M93" s="15" t="s">
        <v>269</v>
      </c>
      <c r="N93" s="15" t="s">
        <v>280</v>
      </c>
      <c r="O93" s="15" t="s">
        <v>360</v>
      </c>
    </row>
    <row r="94" spans="2:19">
      <c r="B94" s="51"/>
      <c r="C94" s="338" t="s">
        <v>1937</v>
      </c>
      <c r="D94" s="304" t="s">
        <v>219</v>
      </c>
      <c r="E94" s="46"/>
      <c r="F94" s="341" t="s">
        <v>192</v>
      </c>
      <c r="G94" s="329" t="s">
        <v>199</v>
      </c>
      <c r="H94" s="18" t="s">
        <v>729</v>
      </c>
      <c r="I94" s="15">
        <v>9.9499999999999993</v>
      </c>
      <c r="J94" s="15">
        <f t="shared" si="7"/>
        <v>9.9499999999999993</v>
      </c>
      <c r="L94" s="18" t="s">
        <v>572</v>
      </c>
      <c r="M94" s="15" t="s">
        <v>267</v>
      </c>
      <c r="N94" s="15" t="s">
        <v>281</v>
      </c>
      <c r="O94" s="15" t="s">
        <v>100</v>
      </c>
    </row>
    <row r="95" spans="2:19">
      <c r="B95" s="51"/>
      <c r="C95" s="338" t="s">
        <v>1937</v>
      </c>
      <c r="D95" s="304" t="s">
        <v>219</v>
      </c>
      <c r="E95" s="46"/>
      <c r="F95" s="341" t="s">
        <v>192</v>
      </c>
      <c r="G95" s="329" t="s">
        <v>200</v>
      </c>
      <c r="H95" s="18" t="s">
        <v>730</v>
      </c>
      <c r="I95" s="15">
        <v>9</v>
      </c>
      <c r="J95" s="15">
        <f t="shared" si="7"/>
        <v>9</v>
      </c>
      <c r="L95" s="18" t="s">
        <v>572</v>
      </c>
      <c r="M95" s="15" t="s">
        <v>267</v>
      </c>
      <c r="N95" s="15" t="s">
        <v>281</v>
      </c>
      <c r="O95" s="15" t="s">
        <v>100</v>
      </c>
    </row>
    <row r="96" spans="2:19">
      <c r="B96" s="51"/>
      <c r="C96" s="338" t="s">
        <v>1937</v>
      </c>
      <c r="D96" s="304" t="s">
        <v>219</v>
      </c>
      <c r="E96" s="46"/>
      <c r="F96" s="341" t="s">
        <v>192</v>
      </c>
      <c r="G96" s="329" t="s">
        <v>209</v>
      </c>
      <c r="H96" s="18" t="s">
        <v>731</v>
      </c>
      <c r="I96" s="15">
        <v>3.3</v>
      </c>
      <c r="J96" s="15">
        <f t="shared" si="7"/>
        <v>3.3</v>
      </c>
      <c r="L96" s="18" t="s">
        <v>572</v>
      </c>
      <c r="M96" s="15" t="s">
        <v>267</v>
      </c>
      <c r="N96" s="15" t="s">
        <v>281</v>
      </c>
      <c r="O96" s="15" t="s">
        <v>100</v>
      </c>
    </row>
    <row r="97" spans="2:15">
      <c r="B97" s="51"/>
      <c r="C97" s="338" t="s">
        <v>1937</v>
      </c>
      <c r="D97" s="304" t="s">
        <v>219</v>
      </c>
      <c r="E97" s="46"/>
      <c r="F97" s="341" t="s">
        <v>355</v>
      </c>
      <c r="G97" s="329" t="s">
        <v>233</v>
      </c>
      <c r="H97" s="18" t="s">
        <v>732</v>
      </c>
      <c r="I97" s="15">
        <v>4.95</v>
      </c>
      <c r="J97" s="15">
        <f t="shared" si="7"/>
        <v>4.95</v>
      </c>
      <c r="L97" s="18" t="s">
        <v>268</v>
      </c>
      <c r="M97" s="15" t="s">
        <v>269</v>
      </c>
      <c r="N97" s="15" t="s">
        <v>280</v>
      </c>
      <c r="O97" s="15" t="s">
        <v>360</v>
      </c>
    </row>
    <row r="98" spans="2:15">
      <c r="B98" s="51"/>
      <c r="C98" s="338" t="s">
        <v>1937</v>
      </c>
      <c r="D98" s="304" t="s">
        <v>219</v>
      </c>
      <c r="E98" s="46"/>
      <c r="F98" s="341" t="s">
        <v>194</v>
      </c>
      <c r="G98" s="329" t="s">
        <v>221</v>
      </c>
      <c r="H98" s="18" t="s">
        <v>767</v>
      </c>
      <c r="I98" s="15">
        <v>12.15</v>
      </c>
      <c r="J98" s="15">
        <f t="shared" ref="J98:J105" si="8">I98</f>
        <v>12.15</v>
      </c>
      <c r="L98" s="18" t="s">
        <v>268</v>
      </c>
      <c r="M98" s="15" t="s">
        <v>269</v>
      </c>
      <c r="N98" s="15" t="s">
        <v>280</v>
      </c>
      <c r="O98" s="15" t="s">
        <v>360</v>
      </c>
    </row>
    <row r="99" spans="2:15">
      <c r="B99" s="51"/>
      <c r="C99" s="338" t="s">
        <v>1937</v>
      </c>
      <c r="D99" s="310" t="s">
        <v>234</v>
      </c>
      <c r="E99" s="46" t="s">
        <v>1885</v>
      </c>
      <c r="F99" s="341" t="s">
        <v>248</v>
      </c>
      <c r="G99" s="329" t="s">
        <v>76</v>
      </c>
      <c r="H99" s="18">
        <v>101</v>
      </c>
      <c r="I99" s="15">
        <v>58.87</v>
      </c>
      <c r="J99" s="15">
        <f t="shared" si="8"/>
        <v>58.87</v>
      </c>
      <c r="K99" s="15">
        <v>40</v>
      </c>
      <c r="L99" s="18" t="s">
        <v>268</v>
      </c>
      <c r="M99" s="15" t="s">
        <v>269</v>
      </c>
      <c r="N99" s="15" t="s">
        <v>280</v>
      </c>
      <c r="O99" s="15" t="s">
        <v>360</v>
      </c>
    </row>
    <row r="100" spans="2:15">
      <c r="B100" s="51"/>
      <c r="C100" s="338" t="s">
        <v>1937</v>
      </c>
      <c r="D100" s="310" t="s">
        <v>234</v>
      </c>
      <c r="E100" s="46" t="s">
        <v>1885</v>
      </c>
      <c r="F100" s="341" t="s">
        <v>248</v>
      </c>
      <c r="G100" s="329" t="s">
        <v>76</v>
      </c>
      <c r="H100" s="18">
        <v>102</v>
      </c>
      <c r="I100" s="15">
        <v>73.8</v>
      </c>
      <c r="J100" s="15">
        <f t="shared" si="8"/>
        <v>73.8</v>
      </c>
      <c r="K100" s="15">
        <v>50</v>
      </c>
      <c r="L100" s="18" t="s">
        <v>268</v>
      </c>
      <c r="M100" s="15" t="s">
        <v>269</v>
      </c>
      <c r="N100" s="15" t="s">
        <v>280</v>
      </c>
      <c r="O100" s="15" t="s">
        <v>360</v>
      </c>
    </row>
    <row r="101" spans="2:15">
      <c r="B101" s="51"/>
      <c r="C101" s="338" t="s">
        <v>1937</v>
      </c>
      <c r="D101" s="310" t="s">
        <v>234</v>
      </c>
      <c r="E101" s="46" t="s">
        <v>1885</v>
      </c>
      <c r="F101" s="341" t="s">
        <v>249</v>
      </c>
      <c r="G101" s="329" t="s">
        <v>1311</v>
      </c>
      <c r="H101" s="18">
        <v>103</v>
      </c>
      <c r="I101" s="15">
        <v>9.1300000000000008</v>
      </c>
      <c r="J101" s="15">
        <f t="shared" si="8"/>
        <v>9.1300000000000008</v>
      </c>
      <c r="K101" s="15">
        <v>2</v>
      </c>
      <c r="L101" s="18" t="s">
        <v>268</v>
      </c>
      <c r="M101" s="15" t="s">
        <v>269</v>
      </c>
      <c r="N101" s="15" t="s">
        <v>280</v>
      </c>
      <c r="O101" s="15" t="s">
        <v>100</v>
      </c>
    </row>
    <row r="102" spans="2:15">
      <c r="B102" s="51"/>
      <c r="C102" s="338" t="s">
        <v>1937</v>
      </c>
      <c r="D102" s="310" t="s">
        <v>234</v>
      </c>
      <c r="E102" s="46" t="s">
        <v>1885</v>
      </c>
      <c r="F102" s="341" t="s">
        <v>248</v>
      </c>
      <c r="G102" s="329" t="s">
        <v>76</v>
      </c>
      <c r="H102" s="18">
        <v>104</v>
      </c>
      <c r="I102" s="15">
        <v>73.8</v>
      </c>
      <c r="J102" s="15">
        <f t="shared" si="8"/>
        <v>73.8</v>
      </c>
      <c r="K102" s="15">
        <v>50</v>
      </c>
      <c r="L102" s="18" t="s">
        <v>268</v>
      </c>
      <c r="M102" s="15" t="s">
        <v>269</v>
      </c>
      <c r="N102" s="15" t="s">
        <v>280</v>
      </c>
      <c r="O102" s="15" t="s">
        <v>360</v>
      </c>
    </row>
    <row r="103" spans="2:15">
      <c r="B103" s="51"/>
      <c r="C103" s="338" t="s">
        <v>1937</v>
      </c>
      <c r="D103" s="310" t="s">
        <v>234</v>
      </c>
      <c r="E103" s="46" t="s">
        <v>1885</v>
      </c>
      <c r="F103" s="341" t="s">
        <v>596</v>
      </c>
      <c r="G103" s="329" t="s">
        <v>236</v>
      </c>
      <c r="H103" s="18">
        <v>105</v>
      </c>
      <c r="I103" s="15">
        <v>58.75</v>
      </c>
      <c r="J103" s="15">
        <f t="shared" si="8"/>
        <v>58.75</v>
      </c>
      <c r="K103" s="15">
        <v>20</v>
      </c>
      <c r="L103" s="18" t="s">
        <v>268</v>
      </c>
      <c r="M103" s="15" t="s">
        <v>269</v>
      </c>
      <c r="N103" s="15" t="s">
        <v>280</v>
      </c>
      <c r="O103" s="15" t="s">
        <v>360</v>
      </c>
    </row>
    <row r="104" spans="2:15">
      <c r="B104" s="51"/>
      <c r="C104" s="338" t="s">
        <v>1937</v>
      </c>
      <c r="D104" s="310" t="s">
        <v>234</v>
      </c>
      <c r="E104" s="46" t="s">
        <v>1885</v>
      </c>
      <c r="F104" s="341" t="s">
        <v>249</v>
      </c>
      <c r="G104" s="329" t="s">
        <v>1311</v>
      </c>
      <c r="H104" s="18">
        <v>106</v>
      </c>
      <c r="I104" s="15">
        <v>9.1300000000000008</v>
      </c>
      <c r="J104" s="15">
        <f t="shared" si="8"/>
        <v>9.1300000000000008</v>
      </c>
      <c r="K104" s="15">
        <v>2</v>
      </c>
      <c r="L104" s="18" t="s">
        <v>268</v>
      </c>
      <c r="M104" s="15" t="s">
        <v>269</v>
      </c>
      <c r="N104" s="15" t="s">
        <v>280</v>
      </c>
      <c r="O104" s="15" t="s">
        <v>100</v>
      </c>
    </row>
    <row r="105" spans="2:15">
      <c r="B105" s="51"/>
      <c r="C105" s="338" t="s">
        <v>1937</v>
      </c>
      <c r="D105" s="310" t="s">
        <v>234</v>
      </c>
      <c r="E105" s="46" t="s">
        <v>1885</v>
      </c>
      <c r="F105" s="341" t="s">
        <v>596</v>
      </c>
      <c r="G105" s="329" t="s">
        <v>235</v>
      </c>
      <c r="H105" s="18">
        <v>107</v>
      </c>
      <c r="I105" s="15">
        <v>73.8</v>
      </c>
      <c r="J105" s="15">
        <f t="shared" si="8"/>
        <v>73.8</v>
      </c>
      <c r="K105" s="15">
        <v>30</v>
      </c>
      <c r="L105" s="18" t="s">
        <v>268</v>
      </c>
      <c r="M105" s="15" t="s">
        <v>269</v>
      </c>
      <c r="N105" s="15" t="s">
        <v>280</v>
      </c>
      <c r="O105" s="15" t="s">
        <v>360</v>
      </c>
    </row>
    <row r="106" spans="2:15">
      <c r="B106" s="51"/>
      <c r="C106" s="338" t="s">
        <v>1937</v>
      </c>
      <c r="D106" s="310" t="s">
        <v>234</v>
      </c>
      <c r="E106" s="287"/>
      <c r="F106" s="341" t="s">
        <v>194</v>
      </c>
      <c r="G106" s="329" t="s">
        <v>237</v>
      </c>
      <c r="H106" s="18" t="s">
        <v>768</v>
      </c>
      <c r="I106" s="15">
        <v>4.7</v>
      </c>
      <c r="J106" s="15">
        <f t="shared" ref="J106:J114" si="9">I106</f>
        <v>4.7</v>
      </c>
      <c r="L106" s="18" t="s">
        <v>268</v>
      </c>
      <c r="M106" s="15" t="s">
        <v>269</v>
      </c>
      <c r="N106" s="15" t="s">
        <v>280</v>
      </c>
      <c r="O106" s="15" t="s">
        <v>360</v>
      </c>
    </row>
    <row r="107" spans="2:15">
      <c r="B107" s="51"/>
      <c r="C107" s="338" t="s">
        <v>1937</v>
      </c>
      <c r="D107" s="310" t="s">
        <v>234</v>
      </c>
      <c r="E107" s="287"/>
      <c r="F107" s="341" t="s">
        <v>194</v>
      </c>
      <c r="G107" s="329" t="s">
        <v>238</v>
      </c>
      <c r="H107" s="18" t="s">
        <v>769</v>
      </c>
      <c r="I107" s="15">
        <v>4.7</v>
      </c>
      <c r="J107" s="15">
        <f t="shared" si="9"/>
        <v>4.7</v>
      </c>
      <c r="L107" s="18" t="s">
        <v>268</v>
      </c>
      <c r="M107" s="15" t="s">
        <v>269</v>
      </c>
      <c r="N107" s="15" t="s">
        <v>280</v>
      </c>
      <c r="O107" s="15" t="s">
        <v>360</v>
      </c>
    </row>
    <row r="108" spans="2:15">
      <c r="B108" s="51"/>
      <c r="C108" s="338" t="s">
        <v>1937</v>
      </c>
      <c r="D108" s="310" t="s">
        <v>234</v>
      </c>
      <c r="E108" s="287"/>
      <c r="F108" s="341" t="s">
        <v>194</v>
      </c>
      <c r="G108" s="329" t="s">
        <v>194</v>
      </c>
      <c r="H108" s="18" t="s">
        <v>770</v>
      </c>
      <c r="I108" s="15">
        <v>61.83</v>
      </c>
      <c r="J108" s="15">
        <f t="shared" si="9"/>
        <v>61.83</v>
      </c>
      <c r="L108" s="18" t="s">
        <v>268</v>
      </c>
      <c r="M108" s="15" t="s">
        <v>269</v>
      </c>
      <c r="N108" s="15" t="s">
        <v>276</v>
      </c>
      <c r="O108" s="15" t="s">
        <v>360</v>
      </c>
    </row>
    <row r="109" spans="2:15">
      <c r="B109" s="51"/>
      <c r="C109" s="338" t="s">
        <v>1937</v>
      </c>
      <c r="D109" s="310" t="s">
        <v>234</v>
      </c>
      <c r="E109" s="287"/>
      <c r="F109" s="341" t="s">
        <v>194</v>
      </c>
      <c r="G109" s="329" t="s">
        <v>221</v>
      </c>
      <c r="H109" s="18" t="s">
        <v>771</v>
      </c>
      <c r="I109" s="15">
        <v>34.520000000000003</v>
      </c>
      <c r="J109" s="15">
        <f t="shared" si="9"/>
        <v>34.520000000000003</v>
      </c>
      <c r="L109" s="18" t="s">
        <v>268</v>
      </c>
      <c r="M109" s="15" t="s">
        <v>269</v>
      </c>
      <c r="N109" s="15" t="s">
        <v>280</v>
      </c>
      <c r="O109" s="15" t="s">
        <v>360</v>
      </c>
    </row>
    <row r="110" spans="2:15">
      <c r="B110" s="51"/>
      <c r="C110" s="338" t="s">
        <v>1937</v>
      </c>
      <c r="D110" s="310" t="s">
        <v>234</v>
      </c>
      <c r="E110" s="287"/>
      <c r="F110" s="341" t="s">
        <v>27</v>
      </c>
      <c r="G110" s="329" t="s">
        <v>27</v>
      </c>
      <c r="H110" s="18" t="s">
        <v>733</v>
      </c>
      <c r="I110" s="15">
        <v>5.54</v>
      </c>
      <c r="J110" s="15">
        <f t="shared" si="9"/>
        <v>5.54</v>
      </c>
      <c r="L110" s="18" t="s">
        <v>572</v>
      </c>
      <c r="M110" s="15" t="s">
        <v>267</v>
      </c>
      <c r="N110" s="15" t="s">
        <v>281</v>
      </c>
      <c r="O110" s="15" t="s">
        <v>100</v>
      </c>
    </row>
    <row r="111" spans="2:15">
      <c r="B111" s="51"/>
      <c r="C111" s="338" t="s">
        <v>1937</v>
      </c>
      <c r="D111" s="310" t="s">
        <v>234</v>
      </c>
      <c r="E111" s="287"/>
      <c r="F111" s="341" t="s">
        <v>355</v>
      </c>
      <c r="G111" s="329" t="s">
        <v>233</v>
      </c>
      <c r="H111" s="18" t="s">
        <v>734</v>
      </c>
      <c r="I111" s="15">
        <v>4.95</v>
      </c>
      <c r="J111" s="15">
        <f t="shared" si="9"/>
        <v>4.95</v>
      </c>
      <c r="L111" s="18" t="s">
        <v>268</v>
      </c>
      <c r="M111" s="15" t="s">
        <v>269</v>
      </c>
      <c r="N111" s="15" t="s">
        <v>269</v>
      </c>
      <c r="O111" s="15" t="s">
        <v>360</v>
      </c>
    </row>
    <row r="112" spans="2:15">
      <c r="B112" s="51"/>
      <c r="C112" s="338" t="s">
        <v>1937</v>
      </c>
      <c r="D112" s="310" t="s">
        <v>234</v>
      </c>
      <c r="E112" s="287"/>
      <c r="F112" s="341" t="s">
        <v>194</v>
      </c>
      <c r="G112" s="329" t="s">
        <v>221</v>
      </c>
      <c r="H112" s="18" t="s">
        <v>772</v>
      </c>
      <c r="I112" s="15">
        <v>12.15</v>
      </c>
      <c r="J112" s="15">
        <f t="shared" si="9"/>
        <v>12.15</v>
      </c>
      <c r="L112" s="18" t="s">
        <v>268</v>
      </c>
      <c r="M112" s="15" t="s">
        <v>269</v>
      </c>
      <c r="N112" s="15" t="s">
        <v>280</v>
      </c>
      <c r="O112" s="15" t="s">
        <v>360</v>
      </c>
    </row>
    <row r="113" spans="2:15">
      <c r="B113" s="51"/>
      <c r="C113" s="338" t="s">
        <v>1937</v>
      </c>
      <c r="D113" s="310" t="s">
        <v>234</v>
      </c>
      <c r="E113" s="287"/>
      <c r="F113" s="341" t="s">
        <v>192</v>
      </c>
      <c r="G113" s="329" t="s">
        <v>199</v>
      </c>
      <c r="H113" s="18" t="s">
        <v>735</v>
      </c>
      <c r="I113" s="15">
        <v>9.9499999999999993</v>
      </c>
      <c r="J113" s="15">
        <f t="shared" si="9"/>
        <v>9.9499999999999993</v>
      </c>
      <c r="L113" s="18" t="s">
        <v>572</v>
      </c>
      <c r="M113" s="15" t="s">
        <v>267</v>
      </c>
      <c r="N113" s="15" t="s">
        <v>281</v>
      </c>
      <c r="O113" s="15" t="s">
        <v>100</v>
      </c>
    </row>
    <row r="114" spans="2:15">
      <c r="B114" s="51"/>
      <c r="C114" s="338" t="s">
        <v>1937</v>
      </c>
      <c r="D114" s="310" t="s">
        <v>234</v>
      </c>
      <c r="E114" s="287"/>
      <c r="F114" s="341" t="s">
        <v>192</v>
      </c>
      <c r="G114" s="329" t="s">
        <v>200</v>
      </c>
      <c r="H114" s="18" t="s">
        <v>736</v>
      </c>
      <c r="I114" s="15">
        <v>9</v>
      </c>
      <c r="J114" s="15">
        <f t="shared" si="9"/>
        <v>9</v>
      </c>
      <c r="L114" s="18" t="s">
        <v>572</v>
      </c>
      <c r="M114" s="15" t="s">
        <v>267</v>
      </c>
      <c r="N114" s="15" t="s">
        <v>281</v>
      </c>
      <c r="O114" s="15" t="s">
        <v>100</v>
      </c>
    </row>
    <row r="115" spans="2:15">
      <c r="B115" s="51"/>
      <c r="C115" s="338" t="s">
        <v>1937</v>
      </c>
      <c r="D115" s="310" t="s">
        <v>234</v>
      </c>
      <c r="E115" s="106"/>
      <c r="F115" s="341" t="s">
        <v>192</v>
      </c>
      <c r="G115" s="329" t="s">
        <v>209</v>
      </c>
      <c r="H115" s="18" t="s">
        <v>737</v>
      </c>
      <c r="I115" s="15">
        <v>3.3</v>
      </c>
      <c r="J115" s="15">
        <f>I115</f>
        <v>3.3</v>
      </c>
      <c r="L115" s="18" t="s">
        <v>572</v>
      </c>
      <c r="M115" s="15" t="s">
        <v>267</v>
      </c>
      <c r="N115" s="15" t="s">
        <v>281</v>
      </c>
      <c r="O115" s="15" t="s">
        <v>100</v>
      </c>
    </row>
    <row r="116" spans="2:15">
      <c r="B116" s="51"/>
      <c r="C116" s="338" t="s">
        <v>1937</v>
      </c>
      <c r="D116" s="304" t="s">
        <v>239</v>
      </c>
      <c r="E116" s="46" t="s">
        <v>1885</v>
      </c>
      <c r="F116" s="341" t="s">
        <v>248</v>
      </c>
      <c r="G116" s="329" t="s">
        <v>76</v>
      </c>
      <c r="H116" s="18">
        <v>201</v>
      </c>
      <c r="I116" s="15">
        <v>73.78</v>
      </c>
      <c r="J116" s="15">
        <f>I116</f>
        <v>73.78</v>
      </c>
      <c r="K116" s="15">
        <v>30</v>
      </c>
      <c r="L116" s="18" t="s">
        <v>268</v>
      </c>
      <c r="M116" s="15" t="s">
        <v>269</v>
      </c>
      <c r="N116" s="15" t="s">
        <v>280</v>
      </c>
      <c r="O116" s="15" t="s">
        <v>360</v>
      </c>
    </row>
    <row r="117" spans="2:15">
      <c r="B117" s="51"/>
      <c r="C117" s="338" t="s">
        <v>1937</v>
      </c>
      <c r="D117" s="304" t="s">
        <v>239</v>
      </c>
      <c r="E117" s="46" t="s">
        <v>1885</v>
      </c>
      <c r="F117" s="341" t="s">
        <v>248</v>
      </c>
      <c r="G117" s="329" t="s">
        <v>76</v>
      </c>
      <c r="H117" s="18">
        <v>202</v>
      </c>
      <c r="I117" s="15">
        <v>73.78</v>
      </c>
      <c r="J117" s="15">
        <f>I117</f>
        <v>73.78</v>
      </c>
      <c r="K117" s="15">
        <v>35</v>
      </c>
      <c r="L117" s="18" t="s">
        <v>268</v>
      </c>
      <c r="M117" s="15" t="s">
        <v>269</v>
      </c>
      <c r="N117" s="15" t="s">
        <v>280</v>
      </c>
      <c r="O117" s="15" t="s">
        <v>360</v>
      </c>
    </row>
    <row r="118" spans="2:15">
      <c r="B118" s="51"/>
      <c r="C118" s="338" t="s">
        <v>1937</v>
      </c>
      <c r="D118" s="304" t="s">
        <v>239</v>
      </c>
      <c r="E118" s="46" t="s">
        <v>1885</v>
      </c>
      <c r="F118" s="341" t="s">
        <v>248</v>
      </c>
      <c r="G118" s="329" t="s">
        <v>76</v>
      </c>
      <c r="H118" s="18">
        <v>203</v>
      </c>
      <c r="I118" s="15">
        <v>73.78</v>
      </c>
      <c r="J118" s="15">
        <f t="shared" ref="J118:J127" si="10">I118</f>
        <v>73.78</v>
      </c>
      <c r="K118" s="15">
        <v>35</v>
      </c>
      <c r="L118" s="18" t="s">
        <v>268</v>
      </c>
      <c r="M118" s="15" t="s">
        <v>269</v>
      </c>
      <c r="N118" s="15" t="s">
        <v>280</v>
      </c>
      <c r="O118" s="15" t="s">
        <v>360</v>
      </c>
    </row>
    <row r="119" spans="2:15">
      <c r="B119" s="51"/>
      <c r="C119" s="338" t="s">
        <v>1937</v>
      </c>
      <c r="D119" s="304" t="s">
        <v>239</v>
      </c>
      <c r="E119" s="46" t="s">
        <v>1885</v>
      </c>
      <c r="F119" s="341" t="s">
        <v>248</v>
      </c>
      <c r="G119" s="329" t="s">
        <v>76</v>
      </c>
      <c r="H119" s="18">
        <v>204</v>
      </c>
      <c r="I119" s="15">
        <v>58.75</v>
      </c>
      <c r="J119" s="15">
        <f t="shared" si="10"/>
        <v>58.75</v>
      </c>
      <c r="K119" s="15">
        <v>20</v>
      </c>
      <c r="L119" s="18" t="s">
        <v>268</v>
      </c>
      <c r="M119" s="15" t="s">
        <v>269</v>
      </c>
      <c r="N119" s="15" t="s">
        <v>280</v>
      </c>
      <c r="O119" s="15" t="s">
        <v>360</v>
      </c>
    </row>
    <row r="120" spans="2:15">
      <c r="B120" s="51"/>
      <c r="C120" s="338" t="s">
        <v>1937</v>
      </c>
      <c r="D120" s="304" t="s">
        <v>239</v>
      </c>
      <c r="E120" s="46" t="s">
        <v>1885</v>
      </c>
      <c r="F120" s="341" t="s">
        <v>1371</v>
      </c>
      <c r="G120" s="329" t="s">
        <v>893</v>
      </c>
      <c r="H120" s="18">
        <v>205</v>
      </c>
      <c r="I120" s="15">
        <v>88.68</v>
      </c>
      <c r="J120" s="15">
        <f t="shared" si="10"/>
        <v>88.68</v>
      </c>
      <c r="K120" s="15">
        <v>60</v>
      </c>
      <c r="L120" s="18" t="s">
        <v>268</v>
      </c>
      <c r="M120" s="15" t="s">
        <v>269</v>
      </c>
      <c r="N120" s="15" t="s">
        <v>280</v>
      </c>
      <c r="O120" s="15" t="s">
        <v>360</v>
      </c>
    </row>
    <row r="121" spans="2:15">
      <c r="B121" s="51"/>
      <c r="C121" s="338" t="s">
        <v>1937</v>
      </c>
      <c r="D121" s="304" t="s">
        <v>239</v>
      </c>
      <c r="E121" s="46"/>
      <c r="F121" s="341" t="s">
        <v>194</v>
      </c>
      <c r="G121" s="329" t="s">
        <v>194</v>
      </c>
      <c r="H121" s="18" t="s">
        <v>773</v>
      </c>
      <c r="I121" s="15">
        <v>61.83</v>
      </c>
      <c r="J121" s="15">
        <f t="shared" si="10"/>
        <v>61.83</v>
      </c>
      <c r="L121" s="18" t="s">
        <v>268</v>
      </c>
      <c r="M121" s="15" t="s">
        <v>269</v>
      </c>
      <c r="N121" s="15" t="s">
        <v>276</v>
      </c>
      <c r="O121" s="15" t="s">
        <v>360</v>
      </c>
    </row>
    <row r="122" spans="2:15">
      <c r="B122" s="51"/>
      <c r="C122" s="338" t="s">
        <v>1937</v>
      </c>
      <c r="D122" s="304" t="s">
        <v>239</v>
      </c>
      <c r="E122" s="46"/>
      <c r="F122" s="341" t="s">
        <v>194</v>
      </c>
      <c r="G122" s="329" t="s">
        <v>221</v>
      </c>
      <c r="H122" s="18" t="s">
        <v>774</v>
      </c>
      <c r="I122" s="15">
        <v>34.520000000000003</v>
      </c>
      <c r="J122" s="15">
        <f t="shared" si="10"/>
        <v>34.520000000000003</v>
      </c>
      <c r="L122" s="18" t="s">
        <v>268</v>
      </c>
      <c r="M122" s="15" t="s">
        <v>269</v>
      </c>
      <c r="N122" s="15" t="s">
        <v>276</v>
      </c>
      <c r="O122" s="15" t="s">
        <v>360</v>
      </c>
    </row>
    <row r="123" spans="2:15">
      <c r="B123" s="51"/>
      <c r="C123" s="338" t="s">
        <v>1937</v>
      </c>
      <c r="D123" s="304" t="s">
        <v>239</v>
      </c>
      <c r="E123" s="46"/>
      <c r="F123" s="341" t="s">
        <v>194</v>
      </c>
      <c r="G123" s="329" t="s">
        <v>221</v>
      </c>
      <c r="H123" s="18" t="s">
        <v>775</v>
      </c>
      <c r="I123" s="15">
        <v>12.15</v>
      </c>
      <c r="J123" s="15">
        <f t="shared" si="10"/>
        <v>12.15</v>
      </c>
      <c r="L123" s="18" t="s">
        <v>268</v>
      </c>
      <c r="M123" s="15" t="s">
        <v>269</v>
      </c>
      <c r="N123" s="15" t="s">
        <v>276</v>
      </c>
      <c r="O123" s="15" t="s">
        <v>360</v>
      </c>
    </row>
    <row r="124" spans="2:15">
      <c r="B124" s="51"/>
      <c r="C124" s="338" t="s">
        <v>1937</v>
      </c>
      <c r="D124" s="304" t="s">
        <v>239</v>
      </c>
      <c r="E124" s="46"/>
      <c r="F124" s="341" t="s">
        <v>27</v>
      </c>
      <c r="G124" s="329" t="s">
        <v>27</v>
      </c>
      <c r="H124" s="18" t="s">
        <v>738</v>
      </c>
      <c r="I124" s="15">
        <v>5.63</v>
      </c>
      <c r="J124" s="15">
        <f t="shared" si="10"/>
        <v>5.63</v>
      </c>
      <c r="L124" s="18" t="s">
        <v>572</v>
      </c>
      <c r="M124" s="15" t="s">
        <v>267</v>
      </c>
      <c r="N124" s="15" t="s">
        <v>281</v>
      </c>
      <c r="O124" s="15" t="s">
        <v>100</v>
      </c>
    </row>
    <row r="125" spans="2:15">
      <c r="B125" s="51"/>
      <c r="C125" s="338" t="s">
        <v>1937</v>
      </c>
      <c r="D125" s="304" t="s">
        <v>239</v>
      </c>
      <c r="E125" s="46"/>
      <c r="F125" s="341" t="s">
        <v>192</v>
      </c>
      <c r="G125" s="329" t="s">
        <v>199</v>
      </c>
      <c r="H125" s="18" t="s">
        <v>739</v>
      </c>
      <c r="I125" s="15">
        <v>9.9499999999999993</v>
      </c>
      <c r="J125" s="15">
        <f t="shared" si="10"/>
        <v>9.9499999999999993</v>
      </c>
      <c r="L125" s="18" t="s">
        <v>572</v>
      </c>
      <c r="M125" s="15" t="s">
        <v>267</v>
      </c>
      <c r="N125" s="15" t="s">
        <v>281</v>
      </c>
      <c r="O125" s="15" t="s">
        <v>100</v>
      </c>
    </row>
    <row r="126" spans="2:15">
      <c r="B126" s="51"/>
      <c r="C126" s="338" t="s">
        <v>1937</v>
      </c>
      <c r="D126" s="304" t="s">
        <v>239</v>
      </c>
      <c r="E126" s="46"/>
      <c r="F126" s="341" t="s">
        <v>192</v>
      </c>
      <c r="G126" s="329" t="s">
        <v>200</v>
      </c>
      <c r="H126" s="18" t="s">
        <v>740</v>
      </c>
      <c r="I126" s="15">
        <v>9</v>
      </c>
      <c r="J126" s="15">
        <f t="shared" si="10"/>
        <v>9</v>
      </c>
      <c r="L126" s="18" t="s">
        <v>572</v>
      </c>
      <c r="M126" s="15" t="s">
        <v>267</v>
      </c>
      <c r="N126" s="15" t="s">
        <v>281</v>
      </c>
      <c r="O126" s="15" t="s">
        <v>100</v>
      </c>
    </row>
    <row r="127" spans="2:15">
      <c r="B127" s="51"/>
      <c r="C127" s="338" t="s">
        <v>1937</v>
      </c>
      <c r="D127" s="304" t="s">
        <v>239</v>
      </c>
      <c r="E127" s="46"/>
      <c r="F127" s="341" t="s">
        <v>192</v>
      </c>
      <c r="G127" s="329" t="s">
        <v>209</v>
      </c>
      <c r="H127" s="18" t="s">
        <v>741</v>
      </c>
      <c r="I127" s="15">
        <v>3.3</v>
      </c>
      <c r="J127" s="15">
        <f t="shared" si="10"/>
        <v>3.3</v>
      </c>
      <c r="L127" s="18" t="s">
        <v>572</v>
      </c>
      <c r="M127" s="15" t="s">
        <v>267</v>
      </c>
      <c r="N127" s="15" t="s">
        <v>281</v>
      </c>
      <c r="O127" s="15" t="s">
        <v>100</v>
      </c>
    </row>
    <row r="128" spans="2:15">
      <c r="B128" s="51"/>
      <c r="C128" s="338" t="s">
        <v>1937</v>
      </c>
      <c r="D128" s="304" t="s">
        <v>239</v>
      </c>
      <c r="E128" s="46"/>
      <c r="F128" s="341" t="s">
        <v>355</v>
      </c>
      <c r="G128" s="329" t="s">
        <v>233</v>
      </c>
      <c r="H128" s="18" t="s">
        <v>742</v>
      </c>
      <c r="I128" s="15">
        <v>4.95</v>
      </c>
      <c r="J128" s="15">
        <f>I128</f>
        <v>4.95</v>
      </c>
      <c r="L128" s="18" t="s">
        <v>268</v>
      </c>
      <c r="M128" s="15" t="s">
        <v>269</v>
      </c>
      <c r="N128" s="15" t="s">
        <v>269</v>
      </c>
      <c r="O128" s="15" t="s">
        <v>360</v>
      </c>
    </row>
    <row r="129" spans="2:15">
      <c r="B129" s="51"/>
      <c r="C129" s="338" t="s">
        <v>1937</v>
      </c>
      <c r="D129" s="304" t="s">
        <v>241</v>
      </c>
      <c r="E129" s="46" t="s">
        <v>1885</v>
      </c>
      <c r="F129" s="341" t="s">
        <v>248</v>
      </c>
      <c r="G129" s="329" t="s">
        <v>76</v>
      </c>
      <c r="H129" s="18">
        <v>301</v>
      </c>
      <c r="I129" s="15">
        <v>73.78</v>
      </c>
      <c r="J129" s="15">
        <f>I129</f>
        <v>73.78</v>
      </c>
      <c r="K129" s="15">
        <v>50</v>
      </c>
      <c r="L129" s="18" t="s">
        <v>268</v>
      </c>
      <c r="M129" s="15" t="s">
        <v>269</v>
      </c>
      <c r="N129" s="15" t="s">
        <v>280</v>
      </c>
      <c r="O129" s="15" t="s">
        <v>360</v>
      </c>
    </row>
    <row r="130" spans="2:15">
      <c r="B130" s="51"/>
      <c r="C130" s="338" t="s">
        <v>1937</v>
      </c>
      <c r="D130" s="304" t="s">
        <v>241</v>
      </c>
      <c r="E130" s="46" t="s">
        <v>1885</v>
      </c>
      <c r="F130" s="341" t="s">
        <v>248</v>
      </c>
      <c r="G130" s="329" t="s">
        <v>76</v>
      </c>
      <c r="H130" s="18">
        <v>302</v>
      </c>
      <c r="I130" s="15">
        <v>73.78</v>
      </c>
      <c r="J130" s="15">
        <f>I130</f>
        <v>73.78</v>
      </c>
      <c r="K130" s="15">
        <v>50</v>
      </c>
      <c r="L130" s="18" t="s">
        <v>268</v>
      </c>
      <c r="M130" s="15" t="s">
        <v>269</v>
      </c>
      <c r="N130" s="15" t="s">
        <v>280</v>
      </c>
      <c r="O130" s="15" t="s">
        <v>360</v>
      </c>
    </row>
    <row r="131" spans="2:15">
      <c r="B131" s="51"/>
      <c r="C131" s="338" t="s">
        <v>1937</v>
      </c>
      <c r="D131" s="304" t="s">
        <v>241</v>
      </c>
      <c r="E131" s="46" t="s">
        <v>1885</v>
      </c>
      <c r="F131" s="341" t="s">
        <v>249</v>
      </c>
      <c r="G131" s="329" t="s">
        <v>897</v>
      </c>
      <c r="H131" s="18">
        <v>303</v>
      </c>
      <c r="I131" s="15">
        <v>28.82</v>
      </c>
      <c r="J131" s="15">
        <f t="shared" ref="J131:J142" si="11">I131</f>
        <v>28.82</v>
      </c>
      <c r="K131" s="15">
        <v>2</v>
      </c>
      <c r="L131" s="18" t="s">
        <v>268</v>
      </c>
      <c r="M131" s="15" t="s">
        <v>269</v>
      </c>
      <c r="N131" s="15" t="s">
        <v>280</v>
      </c>
      <c r="O131" s="15" t="s">
        <v>360</v>
      </c>
    </row>
    <row r="132" spans="2:15">
      <c r="B132" s="51"/>
      <c r="C132" s="338" t="s">
        <v>1937</v>
      </c>
      <c r="D132" s="304" t="s">
        <v>241</v>
      </c>
      <c r="E132" s="46" t="s">
        <v>1885</v>
      </c>
      <c r="F132" s="341" t="s">
        <v>249</v>
      </c>
      <c r="G132" s="329" t="s">
        <v>896</v>
      </c>
      <c r="H132" s="18">
        <v>304</v>
      </c>
      <c r="I132" s="15">
        <v>43.8</v>
      </c>
      <c r="J132" s="15">
        <f t="shared" si="11"/>
        <v>43.8</v>
      </c>
      <c r="K132" s="15">
        <v>4</v>
      </c>
      <c r="L132" s="18" t="s">
        <v>268</v>
      </c>
      <c r="M132" s="15" t="s">
        <v>269</v>
      </c>
      <c r="N132" s="15" t="s">
        <v>280</v>
      </c>
      <c r="O132" s="15" t="s">
        <v>360</v>
      </c>
    </row>
    <row r="133" spans="2:15">
      <c r="B133" s="51"/>
      <c r="C133" s="338" t="s">
        <v>1937</v>
      </c>
      <c r="D133" s="304" t="s">
        <v>241</v>
      </c>
      <c r="E133" s="46" t="s">
        <v>1885</v>
      </c>
      <c r="F133" s="341" t="s">
        <v>248</v>
      </c>
      <c r="G133" s="329" t="s">
        <v>76</v>
      </c>
      <c r="H133" s="18">
        <v>305</v>
      </c>
      <c r="I133" s="15">
        <v>58.75</v>
      </c>
      <c r="J133" s="15">
        <f t="shared" si="11"/>
        <v>58.75</v>
      </c>
      <c r="K133" s="15">
        <v>30</v>
      </c>
      <c r="L133" s="18" t="s">
        <v>268</v>
      </c>
      <c r="M133" s="15" t="s">
        <v>269</v>
      </c>
      <c r="N133" s="15" t="s">
        <v>280</v>
      </c>
      <c r="O133" s="15" t="s">
        <v>360</v>
      </c>
    </row>
    <row r="134" spans="2:15">
      <c r="B134" s="51"/>
      <c r="C134" s="338" t="s">
        <v>1937</v>
      </c>
      <c r="D134" s="304" t="s">
        <v>241</v>
      </c>
      <c r="E134" s="46" t="s">
        <v>1885</v>
      </c>
      <c r="F134" s="341" t="s">
        <v>1371</v>
      </c>
      <c r="G134" s="329" t="s">
        <v>895</v>
      </c>
      <c r="H134" s="18">
        <v>306</v>
      </c>
      <c r="I134" s="15">
        <v>43.77</v>
      </c>
      <c r="J134" s="15">
        <f t="shared" si="11"/>
        <v>43.77</v>
      </c>
      <c r="K134" s="15">
        <v>20</v>
      </c>
      <c r="L134" s="18" t="s">
        <v>268</v>
      </c>
      <c r="M134" s="15" t="s">
        <v>269</v>
      </c>
      <c r="N134" s="15" t="s">
        <v>280</v>
      </c>
      <c r="O134" s="15" t="s">
        <v>360</v>
      </c>
    </row>
    <row r="135" spans="2:15">
      <c r="B135" s="51"/>
      <c r="C135" s="338" t="s">
        <v>1937</v>
      </c>
      <c r="D135" s="304" t="s">
        <v>241</v>
      </c>
      <c r="E135" s="46" t="s">
        <v>1885</v>
      </c>
      <c r="F135" s="341" t="s">
        <v>1371</v>
      </c>
      <c r="G135" s="329" t="s">
        <v>894</v>
      </c>
      <c r="H135" s="18">
        <v>307</v>
      </c>
      <c r="I135" s="15">
        <v>43.8</v>
      </c>
      <c r="J135" s="15">
        <f t="shared" si="11"/>
        <v>43.8</v>
      </c>
      <c r="K135" s="15">
        <v>20</v>
      </c>
      <c r="L135" s="18" t="s">
        <v>268</v>
      </c>
      <c r="M135" s="15" t="s">
        <v>269</v>
      </c>
      <c r="N135" s="15" t="s">
        <v>280</v>
      </c>
      <c r="O135" s="15" t="s">
        <v>360</v>
      </c>
    </row>
    <row r="136" spans="2:15">
      <c r="B136" s="51"/>
      <c r="C136" s="338" t="s">
        <v>1937</v>
      </c>
      <c r="D136" s="304" t="s">
        <v>241</v>
      </c>
      <c r="E136" s="46"/>
      <c r="F136" s="341" t="s">
        <v>194</v>
      </c>
      <c r="G136" s="329" t="s">
        <v>194</v>
      </c>
      <c r="H136" s="18" t="s">
        <v>776</v>
      </c>
      <c r="I136" s="15">
        <v>61.83</v>
      </c>
      <c r="J136" s="15">
        <f t="shared" si="11"/>
        <v>61.83</v>
      </c>
      <c r="L136" s="18" t="s">
        <v>268</v>
      </c>
      <c r="M136" s="15" t="s">
        <v>269</v>
      </c>
      <c r="N136" s="15" t="s">
        <v>276</v>
      </c>
      <c r="O136" s="15" t="s">
        <v>360</v>
      </c>
    </row>
    <row r="137" spans="2:15">
      <c r="B137" s="51"/>
      <c r="C137" s="338" t="s">
        <v>1937</v>
      </c>
      <c r="D137" s="304" t="s">
        <v>241</v>
      </c>
      <c r="E137" s="46"/>
      <c r="F137" s="341" t="s">
        <v>194</v>
      </c>
      <c r="G137" s="329" t="s">
        <v>221</v>
      </c>
      <c r="H137" s="18" t="s">
        <v>777</v>
      </c>
      <c r="I137" s="15">
        <v>34.520000000000003</v>
      </c>
      <c r="J137" s="15">
        <f t="shared" si="11"/>
        <v>34.520000000000003</v>
      </c>
      <c r="L137" s="18" t="s">
        <v>268</v>
      </c>
      <c r="M137" s="15" t="s">
        <v>269</v>
      </c>
      <c r="N137" s="15" t="s">
        <v>276</v>
      </c>
      <c r="O137" s="15" t="s">
        <v>360</v>
      </c>
    </row>
    <row r="138" spans="2:15">
      <c r="B138" s="51"/>
      <c r="C138" s="338" t="s">
        <v>1937</v>
      </c>
      <c r="D138" s="304" t="s">
        <v>241</v>
      </c>
      <c r="E138" s="46"/>
      <c r="F138" s="341" t="s">
        <v>194</v>
      </c>
      <c r="G138" s="329" t="s">
        <v>221</v>
      </c>
      <c r="H138" s="18" t="s">
        <v>778</v>
      </c>
      <c r="I138" s="15">
        <v>12.15</v>
      </c>
      <c r="J138" s="15">
        <f t="shared" si="11"/>
        <v>12.15</v>
      </c>
      <c r="L138" s="18" t="s">
        <v>268</v>
      </c>
      <c r="M138" s="15" t="s">
        <v>269</v>
      </c>
      <c r="N138" s="15" t="s">
        <v>276</v>
      </c>
      <c r="O138" s="15" t="s">
        <v>360</v>
      </c>
    </row>
    <row r="139" spans="2:15">
      <c r="B139" s="51"/>
      <c r="C139" s="338" t="s">
        <v>1937</v>
      </c>
      <c r="D139" s="304" t="s">
        <v>241</v>
      </c>
      <c r="E139" s="46"/>
      <c r="F139" s="341" t="s">
        <v>27</v>
      </c>
      <c r="G139" s="329" t="s">
        <v>27</v>
      </c>
      <c r="H139" s="18" t="s">
        <v>743</v>
      </c>
      <c r="I139" s="15">
        <v>5.63</v>
      </c>
      <c r="J139" s="15">
        <f t="shared" si="11"/>
        <v>5.63</v>
      </c>
      <c r="L139" s="18" t="s">
        <v>572</v>
      </c>
      <c r="M139" s="15" t="s">
        <v>267</v>
      </c>
      <c r="N139" s="15" t="s">
        <v>281</v>
      </c>
      <c r="O139" s="15" t="s">
        <v>100</v>
      </c>
    </row>
    <row r="140" spans="2:15">
      <c r="B140" s="51"/>
      <c r="C140" s="338" t="s">
        <v>1937</v>
      </c>
      <c r="D140" s="304" t="s">
        <v>241</v>
      </c>
      <c r="E140" s="46"/>
      <c r="F140" s="341" t="s">
        <v>192</v>
      </c>
      <c r="G140" s="329" t="s">
        <v>199</v>
      </c>
      <c r="H140" s="18" t="s">
        <v>744</v>
      </c>
      <c r="I140" s="15">
        <v>9.9499999999999993</v>
      </c>
      <c r="J140" s="15">
        <f t="shared" si="11"/>
        <v>9.9499999999999993</v>
      </c>
      <c r="L140" s="18" t="s">
        <v>572</v>
      </c>
      <c r="M140" s="15" t="s">
        <v>267</v>
      </c>
      <c r="N140" s="15" t="s">
        <v>281</v>
      </c>
      <c r="O140" s="15" t="s">
        <v>100</v>
      </c>
    </row>
    <row r="141" spans="2:15">
      <c r="B141" s="51"/>
      <c r="C141" s="338" t="s">
        <v>1937</v>
      </c>
      <c r="D141" s="304" t="s">
        <v>241</v>
      </c>
      <c r="E141" s="46"/>
      <c r="F141" s="341" t="s">
        <v>192</v>
      </c>
      <c r="G141" s="329" t="s">
        <v>200</v>
      </c>
      <c r="H141" s="18" t="s">
        <v>745</v>
      </c>
      <c r="I141" s="15">
        <v>9</v>
      </c>
      <c r="J141" s="15">
        <f t="shared" si="11"/>
        <v>9</v>
      </c>
      <c r="L141" s="18" t="s">
        <v>572</v>
      </c>
      <c r="M141" s="15" t="s">
        <v>267</v>
      </c>
      <c r="N141" s="15" t="s">
        <v>281</v>
      </c>
      <c r="O141" s="15" t="s">
        <v>100</v>
      </c>
    </row>
    <row r="142" spans="2:15">
      <c r="B142" s="51"/>
      <c r="C142" s="338" t="s">
        <v>1937</v>
      </c>
      <c r="D142" s="304" t="s">
        <v>241</v>
      </c>
      <c r="E142" s="46"/>
      <c r="F142" s="341" t="s">
        <v>192</v>
      </c>
      <c r="G142" s="329" t="s">
        <v>209</v>
      </c>
      <c r="H142" s="18" t="s">
        <v>746</v>
      </c>
      <c r="I142" s="15">
        <v>3.3</v>
      </c>
      <c r="J142" s="15">
        <f t="shared" si="11"/>
        <v>3.3</v>
      </c>
      <c r="L142" s="18" t="s">
        <v>572</v>
      </c>
      <c r="M142" s="15" t="s">
        <v>267</v>
      </c>
      <c r="N142" s="15" t="s">
        <v>281</v>
      </c>
      <c r="O142" s="15" t="s">
        <v>100</v>
      </c>
    </row>
    <row r="143" spans="2:15">
      <c r="B143" s="51"/>
      <c r="C143" s="338" t="s">
        <v>1937</v>
      </c>
      <c r="D143" s="304" t="s">
        <v>241</v>
      </c>
      <c r="E143" s="46"/>
      <c r="F143" s="341" t="s">
        <v>355</v>
      </c>
      <c r="G143" s="329" t="s">
        <v>233</v>
      </c>
      <c r="H143" s="18" t="s">
        <v>747</v>
      </c>
      <c r="I143" s="15">
        <v>4.95</v>
      </c>
      <c r="J143" s="15">
        <f>I143</f>
        <v>4.95</v>
      </c>
      <c r="L143" s="18" t="s">
        <v>268</v>
      </c>
      <c r="M143" s="15" t="s">
        <v>269</v>
      </c>
      <c r="N143" s="15" t="s">
        <v>269</v>
      </c>
      <c r="O143" s="15" t="s">
        <v>360</v>
      </c>
    </row>
    <row r="144" spans="2:15">
      <c r="B144" s="51"/>
      <c r="C144" s="338" t="s">
        <v>1937</v>
      </c>
      <c r="D144" s="304" t="s">
        <v>242</v>
      </c>
      <c r="E144" s="46" t="s">
        <v>1885</v>
      </c>
      <c r="F144" s="341" t="s">
        <v>248</v>
      </c>
      <c r="G144" s="329" t="s">
        <v>899</v>
      </c>
      <c r="H144" s="18">
        <v>401</v>
      </c>
      <c r="I144" s="15">
        <v>43.81</v>
      </c>
      <c r="J144" s="15">
        <f>I144</f>
        <v>43.81</v>
      </c>
      <c r="K144" s="15">
        <v>15</v>
      </c>
      <c r="L144" s="18" t="s">
        <v>268</v>
      </c>
      <c r="M144" s="15" t="s">
        <v>269</v>
      </c>
      <c r="N144" s="15" t="s">
        <v>280</v>
      </c>
      <c r="O144" s="15" t="s">
        <v>360</v>
      </c>
    </row>
    <row r="145" spans="2:15">
      <c r="B145" s="51"/>
      <c r="C145" s="338" t="s">
        <v>1937</v>
      </c>
      <c r="D145" s="304" t="s">
        <v>242</v>
      </c>
      <c r="E145" s="46" t="s">
        <v>1885</v>
      </c>
      <c r="F145" s="341" t="s">
        <v>249</v>
      </c>
      <c r="G145" s="329" t="s">
        <v>900</v>
      </c>
      <c r="H145" s="18">
        <v>402</v>
      </c>
      <c r="I145" s="15">
        <v>28.83</v>
      </c>
      <c r="J145" s="15">
        <f>I145</f>
        <v>28.83</v>
      </c>
      <c r="K145" s="15">
        <v>2</v>
      </c>
      <c r="L145" s="18" t="s">
        <v>268</v>
      </c>
      <c r="M145" s="15" t="s">
        <v>269</v>
      </c>
      <c r="N145" s="15" t="s">
        <v>280</v>
      </c>
      <c r="O145" s="15" t="s">
        <v>360</v>
      </c>
    </row>
    <row r="146" spans="2:15">
      <c r="B146" s="51"/>
      <c r="C146" s="338" t="s">
        <v>1937</v>
      </c>
      <c r="D146" s="304" t="s">
        <v>242</v>
      </c>
      <c r="E146" s="46" t="s">
        <v>1885</v>
      </c>
      <c r="F146" s="341" t="s">
        <v>249</v>
      </c>
      <c r="G146" s="329" t="s">
        <v>901</v>
      </c>
      <c r="H146" s="18">
        <v>403</v>
      </c>
      <c r="I146" s="15">
        <v>29.13</v>
      </c>
      <c r="J146" s="15">
        <f t="shared" ref="J146:J161" si="12">I146</f>
        <v>29.13</v>
      </c>
      <c r="K146" s="15">
        <v>2</v>
      </c>
      <c r="L146" s="18" t="s">
        <v>268</v>
      </c>
      <c r="M146" s="15" t="s">
        <v>269</v>
      </c>
      <c r="N146" s="15" t="s">
        <v>280</v>
      </c>
      <c r="O146" s="15" t="s">
        <v>360</v>
      </c>
    </row>
    <row r="147" spans="2:15">
      <c r="B147" s="51"/>
      <c r="C147" s="338" t="s">
        <v>1937</v>
      </c>
      <c r="D147" s="304" t="s">
        <v>242</v>
      </c>
      <c r="E147" s="46" t="s">
        <v>1885</v>
      </c>
      <c r="F147" s="341" t="s">
        <v>208</v>
      </c>
      <c r="G147" s="329" t="s">
        <v>902</v>
      </c>
      <c r="H147" s="18">
        <v>404</v>
      </c>
      <c r="I147" s="15">
        <v>29.16</v>
      </c>
      <c r="J147" s="15">
        <f t="shared" si="12"/>
        <v>29.16</v>
      </c>
      <c r="K147" s="15">
        <v>4</v>
      </c>
      <c r="L147" s="18" t="s">
        <v>268</v>
      </c>
      <c r="M147" s="15" t="s">
        <v>269</v>
      </c>
      <c r="N147" s="15" t="s">
        <v>280</v>
      </c>
      <c r="O147" s="15" t="s">
        <v>360</v>
      </c>
    </row>
    <row r="148" spans="2:15">
      <c r="B148" s="51"/>
      <c r="C148" s="338" t="s">
        <v>1937</v>
      </c>
      <c r="D148" s="304" t="s">
        <v>242</v>
      </c>
      <c r="E148" s="46" t="s">
        <v>1885</v>
      </c>
      <c r="F148" s="341" t="s">
        <v>208</v>
      </c>
      <c r="G148" s="329" t="s">
        <v>208</v>
      </c>
      <c r="H148" s="18">
        <v>405</v>
      </c>
      <c r="I148" s="15">
        <v>29.16</v>
      </c>
      <c r="J148" s="15">
        <f t="shared" si="12"/>
        <v>29.16</v>
      </c>
      <c r="K148" s="15">
        <v>3</v>
      </c>
      <c r="L148" s="18" t="s">
        <v>268</v>
      </c>
      <c r="M148" s="15" t="s">
        <v>269</v>
      </c>
      <c r="N148" s="15" t="s">
        <v>280</v>
      </c>
      <c r="O148" s="15" t="s">
        <v>360</v>
      </c>
    </row>
    <row r="149" spans="2:15">
      <c r="B149" s="51"/>
      <c r="C149" s="338" t="s">
        <v>1937</v>
      </c>
      <c r="D149" s="304" t="s">
        <v>242</v>
      </c>
      <c r="E149" s="46" t="s">
        <v>1885</v>
      </c>
      <c r="F149" s="341" t="s">
        <v>208</v>
      </c>
      <c r="G149" s="329" t="s">
        <v>208</v>
      </c>
      <c r="H149" s="18">
        <v>406</v>
      </c>
      <c r="I149" s="15">
        <v>29.43</v>
      </c>
      <c r="J149" s="15">
        <f t="shared" si="12"/>
        <v>29.43</v>
      </c>
      <c r="K149" s="15">
        <v>3</v>
      </c>
      <c r="L149" s="18" t="s">
        <v>268</v>
      </c>
      <c r="M149" s="15" t="s">
        <v>269</v>
      </c>
      <c r="N149" s="15" t="s">
        <v>280</v>
      </c>
      <c r="O149" s="15" t="s">
        <v>360</v>
      </c>
    </row>
    <row r="150" spans="2:15">
      <c r="B150" s="51"/>
      <c r="C150" s="338" t="s">
        <v>1937</v>
      </c>
      <c r="D150" s="304" t="s">
        <v>242</v>
      </c>
      <c r="E150" s="46" t="s">
        <v>1885</v>
      </c>
      <c r="F150" s="341" t="s">
        <v>208</v>
      </c>
      <c r="G150" s="329" t="s">
        <v>208</v>
      </c>
      <c r="H150" s="18">
        <v>407</v>
      </c>
      <c r="I150" s="15">
        <v>29.13</v>
      </c>
      <c r="J150" s="15">
        <f t="shared" si="12"/>
        <v>29.13</v>
      </c>
      <c r="K150" s="15">
        <v>3</v>
      </c>
      <c r="L150" s="18" t="s">
        <v>268</v>
      </c>
      <c r="M150" s="15" t="s">
        <v>269</v>
      </c>
      <c r="N150" s="15" t="s">
        <v>280</v>
      </c>
      <c r="O150" s="15" t="s">
        <v>360</v>
      </c>
    </row>
    <row r="151" spans="2:15">
      <c r="B151" s="51"/>
      <c r="C151" s="338" t="s">
        <v>1937</v>
      </c>
      <c r="D151" s="304" t="s">
        <v>242</v>
      </c>
      <c r="E151" s="46" t="s">
        <v>1885</v>
      </c>
      <c r="F151" s="341" t="s">
        <v>248</v>
      </c>
      <c r="G151" s="329" t="s">
        <v>899</v>
      </c>
      <c r="H151" s="18">
        <v>408</v>
      </c>
      <c r="I151" s="15">
        <v>58.75</v>
      </c>
      <c r="J151" s="15">
        <f t="shared" si="12"/>
        <v>58.75</v>
      </c>
      <c r="K151" s="15">
        <v>20</v>
      </c>
      <c r="L151" s="18" t="s">
        <v>268</v>
      </c>
      <c r="M151" s="15" t="s">
        <v>269</v>
      </c>
      <c r="N151" s="15" t="s">
        <v>280</v>
      </c>
      <c r="O151" s="15" t="s">
        <v>360</v>
      </c>
    </row>
    <row r="152" spans="2:15">
      <c r="B152" s="51"/>
      <c r="C152" s="338" t="s">
        <v>1937</v>
      </c>
      <c r="D152" s="304" t="s">
        <v>242</v>
      </c>
      <c r="E152" s="46" t="s">
        <v>1885</v>
      </c>
      <c r="F152" s="341" t="s">
        <v>208</v>
      </c>
      <c r="G152" s="329" t="s">
        <v>208</v>
      </c>
      <c r="H152" s="18">
        <v>409</v>
      </c>
      <c r="I152" s="15">
        <v>29.13</v>
      </c>
      <c r="J152" s="15">
        <f t="shared" si="12"/>
        <v>29.13</v>
      </c>
      <c r="K152" s="15">
        <v>3</v>
      </c>
      <c r="L152" s="18" t="s">
        <v>268</v>
      </c>
      <c r="M152" s="15" t="s">
        <v>269</v>
      </c>
      <c r="N152" s="15" t="s">
        <v>280</v>
      </c>
      <c r="O152" s="15" t="s">
        <v>360</v>
      </c>
    </row>
    <row r="153" spans="2:15">
      <c r="B153" s="51"/>
      <c r="C153" s="338" t="s">
        <v>1937</v>
      </c>
      <c r="D153" s="304" t="s">
        <v>242</v>
      </c>
      <c r="E153" s="46" t="s">
        <v>1885</v>
      </c>
      <c r="F153" s="341" t="s">
        <v>208</v>
      </c>
      <c r="G153" s="329" t="s">
        <v>208</v>
      </c>
      <c r="H153" s="18">
        <v>410</v>
      </c>
      <c r="I153" s="15">
        <v>29.39</v>
      </c>
      <c r="J153" s="15">
        <f t="shared" si="12"/>
        <v>29.39</v>
      </c>
      <c r="K153" s="15">
        <v>3</v>
      </c>
      <c r="L153" s="18" t="s">
        <v>268</v>
      </c>
      <c r="M153" s="15" t="s">
        <v>269</v>
      </c>
      <c r="N153" s="15" t="s">
        <v>280</v>
      </c>
      <c r="O153" s="15" t="s">
        <v>360</v>
      </c>
    </row>
    <row r="154" spans="2:15">
      <c r="B154" s="51"/>
      <c r="C154" s="338" t="s">
        <v>1937</v>
      </c>
      <c r="D154" s="304" t="s">
        <v>242</v>
      </c>
      <c r="E154" s="46" t="s">
        <v>1885</v>
      </c>
      <c r="F154" s="341" t="s">
        <v>208</v>
      </c>
      <c r="G154" s="329" t="s">
        <v>208</v>
      </c>
      <c r="H154" s="18">
        <v>411</v>
      </c>
      <c r="I154" s="15">
        <v>29.09</v>
      </c>
      <c r="J154" s="15">
        <f t="shared" si="12"/>
        <v>29.09</v>
      </c>
      <c r="K154" s="15">
        <v>3</v>
      </c>
      <c r="L154" s="18" t="s">
        <v>268</v>
      </c>
      <c r="M154" s="15" t="s">
        <v>269</v>
      </c>
      <c r="N154" s="15" t="s">
        <v>280</v>
      </c>
      <c r="O154" s="15" t="s">
        <v>360</v>
      </c>
    </row>
    <row r="155" spans="2:15">
      <c r="B155" s="51"/>
      <c r="C155" s="338" t="s">
        <v>1937</v>
      </c>
      <c r="D155" s="304" t="s">
        <v>242</v>
      </c>
      <c r="E155" s="46"/>
      <c r="F155" s="341" t="s">
        <v>194</v>
      </c>
      <c r="G155" s="329" t="s">
        <v>194</v>
      </c>
      <c r="H155" s="18" t="s">
        <v>779</v>
      </c>
      <c r="I155" s="15">
        <v>61.83</v>
      </c>
      <c r="J155" s="15">
        <f t="shared" si="12"/>
        <v>61.83</v>
      </c>
      <c r="L155" s="18" t="s">
        <v>268</v>
      </c>
      <c r="M155" s="15" t="s">
        <v>269</v>
      </c>
      <c r="N155" s="15" t="s">
        <v>276</v>
      </c>
      <c r="O155" s="15" t="s">
        <v>360</v>
      </c>
    </row>
    <row r="156" spans="2:15">
      <c r="B156" s="51"/>
      <c r="C156" s="338" t="s">
        <v>1937</v>
      </c>
      <c r="D156" s="304" t="s">
        <v>242</v>
      </c>
      <c r="E156" s="46"/>
      <c r="F156" s="341" t="s">
        <v>194</v>
      </c>
      <c r="G156" s="329" t="s">
        <v>221</v>
      </c>
      <c r="H156" s="18" t="s">
        <v>780</v>
      </c>
      <c r="I156" s="15">
        <v>34.520000000000003</v>
      </c>
      <c r="J156" s="15">
        <f t="shared" si="12"/>
        <v>34.520000000000003</v>
      </c>
      <c r="L156" s="18" t="s">
        <v>268</v>
      </c>
      <c r="M156" s="15" t="s">
        <v>269</v>
      </c>
      <c r="N156" s="15" t="s">
        <v>276</v>
      </c>
      <c r="O156" s="15" t="s">
        <v>360</v>
      </c>
    </row>
    <row r="157" spans="2:15">
      <c r="B157" s="51"/>
      <c r="C157" s="338" t="s">
        <v>1937</v>
      </c>
      <c r="D157" s="304" t="s">
        <v>242</v>
      </c>
      <c r="E157" s="46"/>
      <c r="F157" s="341" t="s">
        <v>194</v>
      </c>
      <c r="G157" s="329" t="s">
        <v>221</v>
      </c>
      <c r="H157" s="18" t="s">
        <v>781</v>
      </c>
      <c r="I157" s="15">
        <v>12.15</v>
      </c>
      <c r="J157" s="15">
        <f t="shared" si="12"/>
        <v>12.15</v>
      </c>
      <c r="L157" s="18" t="s">
        <v>268</v>
      </c>
      <c r="M157" s="15" t="s">
        <v>269</v>
      </c>
      <c r="N157" s="15" t="s">
        <v>276</v>
      </c>
      <c r="O157" s="15" t="s">
        <v>360</v>
      </c>
    </row>
    <row r="158" spans="2:15">
      <c r="B158" s="51"/>
      <c r="C158" s="338" t="s">
        <v>1937</v>
      </c>
      <c r="D158" s="304" t="s">
        <v>242</v>
      </c>
      <c r="E158" s="46"/>
      <c r="F158" s="341" t="s">
        <v>355</v>
      </c>
      <c r="G158" s="329" t="s">
        <v>33</v>
      </c>
      <c r="H158" s="18" t="s">
        <v>748</v>
      </c>
      <c r="I158" s="15">
        <v>5.63</v>
      </c>
      <c r="J158" s="15">
        <f t="shared" si="12"/>
        <v>5.63</v>
      </c>
      <c r="L158" s="18" t="s">
        <v>572</v>
      </c>
      <c r="M158" s="15" t="s">
        <v>267</v>
      </c>
      <c r="N158" s="15" t="s">
        <v>281</v>
      </c>
      <c r="O158" s="15" t="s">
        <v>100</v>
      </c>
    </row>
    <row r="159" spans="2:15">
      <c r="B159" s="51"/>
      <c r="C159" s="338" t="s">
        <v>1937</v>
      </c>
      <c r="D159" s="304" t="s">
        <v>242</v>
      </c>
      <c r="E159" s="46"/>
      <c r="F159" s="341" t="s">
        <v>192</v>
      </c>
      <c r="G159" s="329" t="s">
        <v>199</v>
      </c>
      <c r="H159" s="18" t="s">
        <v>749</v>
      </c>
      <c r="I159" s="15">
        <v>9.9499999999999993</v>
      </c>
      <c r="J159" s="15">
        <f t="shared" si="12"/>
        <v>9.9499999999999993</v>
      </c>
      <c r="L159" s="18" t="s">
        <v>572</v>
      </c>
      <c r="M159" s="15" t="s">
        <v>267</v>
      </c>
      <c r="N159" s="15" t="s">
        <v>281</v>
      </c>
      <c r="O159" s="15" t="s">
        <v>100</v>
      </c>
    </row>
    <row r="160" spans="2:15">
      <c r="B160" s="51"/>
      <c r="C160" s="338" t="s">
        <v>1937</v>
      </c>
      <c r="D160" s="304" t="s">
        <v>242</v>
      </c>
      <c r="E160" s="46"/>
      <c r="F160" s="341" t="s">
        <v>192</v>
      </c>
      <c r="G160" s="329" t="s">
        <v>200</v>
      </c>
      <c r="H160" s="18" t="s">
        <v>750</v>
      </c>
      <c r="I160" s="15">
        <v>9</v>
      </c>
      <c r="J160" s="15">
        <f t="shared" si="12"/>
        <v>9</v>
      </c>
      <c r="L160" s="18" t="s">
        <v>572</v>
      </c>
      <c r="M160" s="15" t="s">
        <v>267</v>
      </c>
      <c r="N160" s="15" t="s">
        <v>281</v>
      </c>
      <c r="O160" s="15" t="s">
        <v>100</v>
      </c>
    </row>
    <row r="161" spans="2:15">
      <c r="B161" s="51"/>
      <c r="C161" s="338" t="s">
        <v>1937</v>
      </c>
      <c r="D161" s="304" t="s">
        <v>242</v>
      </c>
      <c r="E161" s="46"/>
      <c r="F161" s="341" t="s">
        <v>192</v>
      </c>
      <c r="G161" s="329" t="s">
        <v>209</v>
      </c>
      <c r="H161" s="18" t="s">
        <v>751</v>
      </c>
      <c r="I161" s="15">
        <v>3.3</v>
      </c>
      <c r="J161" s="15">
        <f t="shared" si="12"/>
        <v>3.3</v>
      </c>
      <c r="L161" s="18" t="s">
        <v>572</v>
      </c>
      <c r="M161" s="15" t="s">
        <v>267</v>
      </c>
      <c r="N161" s="15" t="s">
        <v>281</v>
      </c>
      <c r="O161" s="15" t="s">
        <v>100</v>
      </c>
    </row>
    <row r="162" spans="2:15">
      <c r="B162" s="51"/>
      <c r="C162" s="338" t="s">
        <v>1937</v>
      </c>
      <c r="D162" s="304" t="s">
        <v>242</v>
      </c>
      <c r="E162" s="46"/>
      <c r="F162" s="341" t="s">
        <v>355</v>
      </c>
      <c r="G162" s="329" t="s">
        <v>233</v>
      </c>
      <c r="H162" s="18" t="s">
        <v>752</v>
      </c>
      <c r="I162" s="15">
        <v>4.95</v>
      </c>
      <c r="J162" s="15">
        <f>I162</f>
        <v>4.95</v>
      </c>
      <c r="L162" s="18" t="s">
        <v>268</v>
      </c>
      <c r="M162" s="15" t="s">
        <v>269</v>
      </c>
      <c r="N162" s="15" t="s">
        <v>269</v>
      </c>
      <c r="O162" s="15" t="s">
        <v>360</v>
      </c>
    </row>
    <row r="163" spans="2:15">
      <c r="B163" s="51"/>
      <c r="C163" s="338" t="s">
        <v>1937</v>
      </c>
      <c r="D163" s="304" t="s">
        <v>243</v>
      </c>
      <c r="E163" s="46" t="s">
        <v>1885</v>
      </c>
      <c r="F163" s="341" t="s">
        <v>1371</v>
      </c>
      <c r="G163" s="329" t="s">
        <v>903</v>
      </c>
      <c r="H163" s="18">
        <v>501</v>
      </c>
      <c r="I163" s="15">
        <v>43.81</v>
      </c>
      <c r="J163" s="15">
        <f>I163</f>
        <v>43.81</v>
      </c>
      <c r="K163" s="15">
        <v>15</v>
      </c>
      <c r="L163" s="18" t="s">
        <v>268</v>
      </c>
      <c r="M163" s="15" t="s">
        <v>269</v>
      </c>
      <c r="N163" s="15" t="s">
        <v>280</v>
      </c>
      <c r="O163" s="15" t="s">
        <v>360</v>
      </c>
    </row>
    <row r="164" spans="2:15">
      <c r="B164" s="51"/>
      <c r="C164" s="338" t="s">
        <v>1937</v>
      </c>
      <c r="D164" s="304" t="s">
        <v>243</v>
      </c>
      <c r="E164" s="46" t="s">
        <v>1885</v>
      </c>
      <c r="F164" s="341" t="s">
        <v>208</v>
      </c>
      <c r="G164" s="329" t="s">
        <v>208</v>
      </c>
      <c r="H164" s="18">
        <v>502</v>
      </c>
      <c r="I164" s="15">
        <v>28.83</v>
      </c>
      <c r="J164" s="15">
        <f>I164</f>
        <v>28.83</v>
      </c>
      <c r="K164" s="15">
        <v>3</v>
      </c>
      <c r="L164" s="18" t="s">
        <v>268</v>
      </c>
      <c r="M164" s="15" t="s">
        <v>269</v>
      </c>
      <c r="N164" s="15" t="s">
        <v>280</v>
      </c>
      <c r="O164" s="15" t="s">
        <v>360</v>
      </c>
    </row>
    <row r="165" spans="2:15">
      <c r="B165" s="51"/>
      <c r="C165" s="338" t="s">
        <v>1937</v>
      </c>
      <c r="D165" s="304" t="s">
        <v>243</v>
      </c>
      <c r="E165" s="46" t="s">
        <v>1885</v>
      </c>
      <c r="F165" s="341" t="s">
        <v>208</v>
      </c>
      <c r="G165" s="329" t="s">
        <v>208</v>
      </c>
      <c r="H165" s="18">
        <v>503</v>
      </c>
      <c r="I165" s="15">
        <v>28.83</v>
      </c>
      <c r="J165" s="15">
        <f t="shared" ref="J165:J182" si="13">I165</f>
        <v>28.83</v>
      </c>
      <c r="K165" s="15">
        <v>3</v>
      </c>
      <c r="L165" s="18" t="s">
        <v>268</v>
      </c>
      <c r="M165" s="15" t="s">
        <v>269</v>
      </c>
      <c r="N165" s="15" t="s">
        <v>280</v>
      </c>
      <c r="O165" s="15" t="s">
        <v>360</v>
      </c>
    </row>
    <row r="166" spans="2:15">
      <c r="B166" s="51"/>
      <c r="C166" s="338" t="s">
        <v>1937</v>
      </c>
      <c r="D166" s="304" t="s">
        <v>243</v>
      </c>
      <c r="E166" s="46" t="s">
        <v>1885</v>
      </c>
      <c r="F166" s="341" t="s">
        <v>208</v>
      </c>
      <c r="G166" s="329" t="s">
        <v>208</v>
      </c>
      <c r="H166" s="18">
        <v>504</v>
      </c>
      <c r="I166" s="15">
        <v>28.83</v>
      </c>
      <c r="J166" s="15">
        <f t="shared" si="13"/>
        <v>28.83</v>
      </c>
      <c r="K166" s="15">
        <v>3</v>
      </c>
      <c r="L166" s="18" t="s">
        <v>268</v>
      </c>
      <c r="M166" s="15" t="s">
        <v>269</v>
      </c>
      <c r="N166" s="15" t="s">
        <v>280</v>
      </c>
      <c r="O166" s="15" t="s">
        <v>360</v>
      </c>
    </row>
    <row r="167" spans="2:15">
      <c r="B167" s="51"/>
      <c r="C167" s="338" t="s">
        <v>1937</v>
      </c>
      <c r="D167" s="304" t="s">
        <v>243</v>
      </c>
      <c r="E167" s="46" t="s">
        <v>1885</v>
      </c>
      <c r="F167" s="341" t="s">
        <v>208</v>
      </c>
      <c r="G167" s="329" t="s">
        <v>208</v>
      </c>
      <c r="H167" s="18">
        <v>505</v>
      </c>
      <c r="I167" s="15">
        <v>28.83</v>
      </c>
      <c r="J167" s="15">
        <f t="shared" si="13"/>
        <v>28.83</v>
      </c>
      <c r="K167" s="15">
        <v>3</v>
      </c>
      <c r="L167" s="18" t="s">
        <v>268</v>
      </c>
      <c r="M167" s="15" t="s">
        <v>269</v>
      </c>
      <c r="N167" s="15" t="s">
        <v>280</v>
      </c>
      <c r="O167" s="15" t="s">
        <v>360</v>
      </c>
    </row>
    <row r="168" spans="2:15">
      <c r="B168" s="51"/>
      <c r="C168" s="338" t="s">
        <v>1937</v>
      </c>
      <c r="D168" s="304" t="s">
        <v>243</v>
      </c>
      <c r="E168" s="46" t="s">
        <v>1885</v>
      </c>
      <c r="F168" s="341" t="s">
        <v>208</v>
      </c>
      <c r="G168" s="329" t="s">
        <v>208</v>
      </c>
      <c r="H168" s="18">
        <v>506</v>
      </c>
      <c r="I168" s="15">
        <v>28.83</v>
      </c>
      <c r="J168" s="15">
        <f t="shared" si="13"/>
        <v>28.83</v>
      </c>
      <c r="K168" s="15">
        <v>3</v>
      </c>
      <c r="L168" s="18" t="s">
        <v>268</v>
      </c>
      <c r="M168" s="15" t="s">
        <v>269</v>
      </c>
      <c r="N168" s="15" t="s">
        <v>280</v>
      </c>
      <c r="O168" s="15" t="s">
        <v>360</v>
      </c>
    </row>
    <row r="169" spans="2:15">
      <c r="B169" s="51"/>
      <c r="C169" s="338" t="s">
        <v>1937</v>
      </c>
      <c r="D169" s="304" t="s">
        <v>243</v>
      </c>
      <c r="E169" s="46" t="s">
        <v>1885</v>
      </c>
      <c r="F169" s="341" t="s">
        <v>208</v>
      </c>
      <c r="G169" s="329" t="s">
        <v>208</v>
      </c>
      <c r="H169" s="18">
        <v>507</v>
      </c>
      <c r="I169" s="15">
        <v>28.83</v>
      </c>
      <c r="J169" s="15">
        <f t="shared" si="13"/>
        <v>28.83</v>
      </c>
      <c r="K169" s="15">
        <v>3</v>
      </c>
      <c r="L169" s="18" t="s">
        <v>268</v>
      </c>
      <c r="M169" s="15" t="s">
        <v>269</v>
      </c>
      <c r="N169" s="15" t="s">
        <v>280</v>
      </c>
      <c r="O169" s="15" t="s">
        <v>360</v>
      </c>
    </row>
    <row r="170" spans="2:15">
      <c r="B170" s="51"/>
      <c r="C170" s="338" t="s">
        <v>1937</v>
      </c>
      <c r="D170" s="304" t="s">
        <v>243</v>
      </c>
      <c r="E170" s="46" t="s">
        <v>1885</v>
      </c>
      <c r="F170" s="341" t="s">
        <v>249</v>
      </c>
      <c r="G170" s="329" t="s">
        <v>904</v>
      </c>
      <c r="H170" s="18">
        <v>508</v>
      </c>
      <c r="I170" s="15">
        <v>43.8</v>
      </c>
      <c r="J170" s="15">
        <f t="shared" si="13"/>
        <v>43.8</v>
      </c>
      <c r="K170" s="15">
        <v>1</v>
      </c>
      <c r="L170" s="18" t="s">
        <v>268</v>
      </c>
      <c r="M170" s="15" t="s">
        <v>269</v>
      </c>
      <c r="N170" s="15" t="s">
        <v>280</v>
      </c>
      <c r="O170" s="15" t="s">
        <v>360</v>
      </c>
    </row>
    <row r="171" spans="2:15">
      <c r="B171" s="51"/>
      <c r="C171" s="338" t="s">
        <v>1937</v>
      </c>
      <c r="D171" s="304" t="s">
        <v>243</v>
      </c>
      <c r="E171" s="46" t="s">
        <v>1885</v>
      </c>
      <c r="F171" s="341" t="s">
        <v>208</v>
      </c>
      <c r="G171" s="329" t="s">
        <v>208</v>
      </c>
      <c r="H171" s="18">
        <v>509</v>
      </c>
      <c r="I171" s="15">
        <v>28.83</v>
      </c>
      <c r="J171" s="15">
        <f t="shared" si="13"/>
        <v>28.83</v>
      </c>
      <c r="K171" s="15">
        <v>2</v>
      </c>
      <c r="L171" s="18" t="s">
        <v>268</v>
      </c>
      <c r="M171" s="15" t="s">
        <v>269</v>
      </c>
      <c r="N171" s="15" t="s">
        <v>280</v>
      </c>
      <c r="O171" s="15" t="s">
        <v>360</v>
      </c>
    </row>
    <row r="172" spans="2:15">
      <c r="B172" s="51"/>
      <c r="C172" s="338" t="s">
        <v>1937</v>
      </c>
      <c r="D172" s="304" t="s">
        <v>243</v>
      </c>
      <c r="E172" s="46" t="s">
        <v>1885</v>
      </c>
      <c r="F172" s="341" t="s">
        <v>208</v>
      </c>
      <c r="G172" s="329" t="s">
        <v>208</v>
      </c>
      <c r="H172" s="18">
        <v>510</v>
      </c>
      <c r="I172" s="15">
        <v>28.83</v>
      </c>
      <c r="J172" s="15">
        <f t="shared" si="13"/>
        <v>28.83</v>
      </c>
      <c r="K172" s="15">
        <v>1</v>
      </c>
      <c r="L172" s="18" t="s">
        <v>268</v>
      </c>
      <c r="M172" s="15" t="s">
        <v>269</v>
      </c>
      <c r="N172" s="15" t="s">
        <v>280</v>
      </c>
      <c r="O172" s="15" t="s">
        <v>360</v>
      </c>
    </row>
    <row r="173" spans="2:15">
      <c r="B173" s="51"/>
      <c r="C173" s="338" t="s">
        <v>1937</v>
      </c>
      <c r="D173" s="304" t="s">
        <v>243</v>
      </c>
      <c r="E173" s="46" t="s">
        <v>1885</v>
      </c>
      <c r="F173" s="341" t="s">
        <v>208</v>
      </c>
      <c r="G173" s="329" t="s">
        <v>208</v>
      </c>
      <c r="H173" s="18">
        <v>511</v>
      </c>
      <c r="I173" s="15">
        <v>28.83</v>
      </c>
      <c r="J173" s="15">
        <f t="shared" si="13"/>
        <v>28.83</v>
      </c>
      <c r="K173" s="15">
        <v>3</v>
      </c>
      <c r="L173" s="18" t="s">
        <v>268</v>
      </c>
      <c r="M173" s="15" t="s">
        <v>269</v>
      </c>
      <c r="N173" s="15" t="s">
        <v>280</v>
      </c>
      <c r="O173" s="15" t="s">
        <v>360</v>
      </c>
    </row>
    <row r="174" spans="2:15">
      <c r="B174" s="51"/>
      <c r="C174" s="338" t="s">
        <v>1937</v>
      </c>
      <c r="D174" s="304" t="s">
        <v>243</v>
      </c>
      <c r="E174" s="46"/>
      <c r="F174" s="341" t="s">
        <v>194</v>
      </c>
      <c r="G174" s="329" t="s">
        <v>194</v>
      </c>
      <c r="H174" s="18" t="s">
        <v>782</v>
      </c>
      <c r="I174" s="15">
        <v>61.83</v>
      </c>
      <c r="J174" s="15">
        <f t="shared" si="13"/>
        <v>61.83</v>
      </c>
      <c r="L174" s="18" t="s">
        <v>268</v>
      </c>
      <c r="M174" s="15" t="s">
        <v>269</v>
      </c>
      <c r="N174" s="15" t="s">
        <v>276</v>
      </c>
      <c r="O174" s="15" t="s">
        <v>360</v>
      </c>
    </row>
    <row r="175" spans="2:15">
      <c r="B175" s="51"/>
      <c r="C175" s="338" t="s">
        <v>1937</v>
      </c>
      <c r="D175" s="304" t="s">
        <v>243</v>
      </c>
      <c r="E175" s="46"/>
      <c r="F175" s="341" t="s">
        <v>194</v>
      </c>
      <c r="G175" s="329" t="s">
        <v>244</v>
      </c>
      <c r="H175" s="18" t="s">
        <v>783</v>
      </c>
      <c r="I175" s="15">
        <v>14.13</v>
      </c>
      <c r="J175" s="15">
        <f t="shared" si="13"/>
        <v>14.13</v>
      </c>
      <c r="L175" s="18" t="s">
        <v>268</v>
      </c>
      <c r="M175" s="15" t="s">
        <v>269</v>
      </c>
      <c r="N175" s="15" t="s">
        <v>280</v>
      </c>
      <c r="O175" s="15" t="s">
        <v>360</v>
      </c>
    </row>
    <row r="176" spans="2:15">
      <c r="B176" s="51"/>
      <c r="C176" s="338" t="s">
        <v>1937</v>
      </c>
      <c r="D176" s="304" t="s">
        <v>243</v>
      </c>
      <c r="E176" s="46"/>
      <c r="F176" s="341" t="s">
        <v>194</v>
      </c>
      <c r="G176" s="329" t="s">
        <v>221</v>
      </c>
      <c r="H176" s="18" t="s">
        <v>784</v>
      </c>
      <c r="I176" s="15">
        <v>34.520000000000003</v>
      </c>
      <c r="J176" s="15">
        <f t="shared" si="13"/>
        <v>34.520000000000003</v>
      </c>
      <c r="L176" s="18" t="s">
        <v>268</v>
      </c>
      <c r="M176" s="15" t="s">
        <v>269</v>
      </c>
      <c r="N176" s="15" t="s">
        <v>276</v>
      </c>
      <c r="O176" s="15" t="s">
        <v>360</v>
      </c>
    </row>
    <row r="177" spans="2:18">
      <c r="B177" s="51"/>
      <c r="C177" s="338" t="s">
        <v>1937</v>
      </c>
      <c r="D177" s="304" t="s">
        <v>243</v>
      </c>
      <c r="E177" s="46"/>
      <c r="F177" s="341" t="s">
        <v>194</v>
      </c>
      <c r="G177" s="329" t="s">
        <v>221</v>
      </c>
      <c r="H177" s="18" t="s">
        <v>785</v>
      </c>
      <c r="I177" s="15">
        <v>12.15</v>
      </c>
      <c r="J177" s="15">
        <f t="shared" si="13"/>
        <v>12.15</v>
      </c>
      <c r="L177" s="18" t="s">
        <v>268</v>
      </c>
      <c r="M177" s="15" t="s">
        <v>269</v>
      </c>
      <c r="N177" s="15" t="s">
        <v>276</v>
      </c>
      <c r="O177" s="15" t="s">
        <v>360</v>
      </c>
    </row>
    <row r="178" spans="2:18">
      <c r="B178" s="51"/>
      <c r="C178" s="338" t="s">
        <v>1937</v>
      </c>
      <c r="D178" s="304" t="s">
        <v>243</v>
      </c>
      <c r="E178" s="46"/>
      <c r="F178" s="341" t="s">
        <v>355</v>
      </c>
      <c r="G178" s="329" t="s">
        <v>33</v>
      </c>
      <c r="H178" s="18" t="s">
        <v>753</v>
      </c>
      <c r="I178" s="15">
        <v>5.63</v>
      </c>
      <c r="J178" s="15">
        <f t="shared" si="13"/>
        <v>5.63</v>
      </c>
      <c r="K178" s="15">
        <v>2</v>
      </c>
      <c r="L178" s="18" t="s">
        <v>572</v>
      </c>
      <c r="M178" s="15" t="s">
        <v>267</v>
      </c>
      <c r="N178" s="15" t="s">
        <v>281</v>
      </c>
      <c r="O178" s="15" t="s">
        <v>360</v>
      </c>
    </row>
    <row r="179" spans="2:18">
      <c r="B179" s="51"/>
      <c r="C179" s="338" t="s">
        <v>1937</v>
      </c>
      <c r="D179" s="304" t="s">
        <v>243</v>
      </c>
      <c r="E179" s="46"/>
      <c r="F179" s="341" t="s">
        <v>192</v>
      </c>
      <c r="G179" s="329" t="s">
        <v>199</v>
      </c>
      <c r="H179" s="18" t="s">
        <v>754</v>
      </c>
      <c r="I179" s="15">
        <v>9.9499999999999993</v>
      </c>
      <c r="J179" s="15">
        <f t="shared" si="13"/>
        <v>9.9499999999999993</v>
      </c>
      <c r="L179" s="18" t="s">
        <v>572</v>
      </c>
      <c r="M179" s="15" t="s">
        <v>267</v>
      </c>
      <c r="N179" s="15" t="s">
        <v>281</v>
      </c>
      <c r="O179" s="15" t="s">
        <v>360</v>
      </c>
    </row>
    <row r="180" spans="2:18">
      <c r="B180" s="51"/>
      <c r="C180" s="338" t="s">
        <v>1937</v>
      </c>
      <c r="D180" s="304" t="s">
        <v>243</v>
      </c>
      <c r="E180" s="46"/>
      <c r="F180" s="341" t="s">
        <v>192</v>
      </c>
      <c r="G180" s="329" t="s">
        <v>200</v>
      </c>
      <c r="H180" s="18" t="s">
        <v>755</v>
      </c>
      <c r="I180" s="15">
        <v>9</v>
      </c>
      <c r="J180" s="15">
        <f t="shared" si="13"/>
        <v>9</v>
      </c>
      <c r="L180" s="18" t="s">
        <v>572</v>
      </c>
      <c r="M180" s="15" t="s">
        <v>267</v>
      </c>
      <c r="N180" s="15" t="s">
        <v>281</v>
      </c>
      <c r="O180" s="15" t="s">
        <v>360</v>
      </c>
    </row>
    <row r="181" spans="2:18">
      <c r="B181" s="51"/>
      <c r="C181" s="338" t="s">
        <v>1937</v>
      </c>
      <c r="D181" s="304" t="s">
        <v>243</v>
      </c>
      <c r="E181" s="46"/>
      <c r="F181" s="341" t="s">
        <v>192</v>
      </c>
      <c r="G181" s="329" t="s">
        <v>209</v>
      </c>
      <c r="H181" s="18" t="s">
        <v>756</v>
      </c>
      <c r="I181" s="15">
        <v>3.3</v>
      </c>
      <c r="J181" s="15">
        <f t="shared" si="13"/>
        <v>3.3</v>
      </c>
      <c r="L181" s="18" t="s">
        <v>572</v>
      </c>
      <c r="M181" s="15" t="s">
        <v>267</v>
      </c>
      <c r="N181" s="15" t="s">
        <v>281</v>
      </c>
      <c r="O181" s="15" t="s">
        <v>360</v>
      </c>
    </row>
    <row r="182" spans="2:18">
      <c r="B182" s="51"/>
      <c r="C182" s="338" t="s">
        <v>1937</v>
      </c>
      <c r="D182" s="304" t="s">
        <v>243</v>
      </c>
      <c r="E182" s="46"/>
      <c r="F182" s="341" t="s">
        <v>355</v>
      </c>
      <c r="G182" s="329" t="s">
        <v>233</v>
      </c>
      <c r="H182" s="18" t="s">
        <v>757</v>
      </c>
      <c r="I182" s="15">
        <v>4.95</v>
      </c>
      <c r="J182" s="15">
        <f t="shared" si="13"/>
        <v>4.95</v>
      </c>
      <c r="L182" s="18" t="s">
        <v>268</v>
      </c>
      <c r="M182" s="15" t="s">
        <v>269</v>
      </c>
      <c r="N182" s="15" t="s">
        <v>269</v>
      </c>
      <c r="O182" s="15" t="s">
        <v>360</v>
      </c>
    </row>
    <row r="183" spans="2:18">
      <c r="B183" s="245">
        <f>SUM(I80:I183)</f>
        <v>3092.0899999999992</v>
      </c>
      <c r="C183" s="338" t="s">
        <v>1937</v>
      </c>
      <c r="D183" s="304" t="s">
        <v>243</v>
      </c>
      <c r="E183" s="46"/>
      <c r="F183" s="341" t="s">
        <v>194</v>
      </c>
      <c r="G183" s="329" t="s">
        <v>247</v>
      </c>
      <c r="H183" s="15" t="s">
        <v>786</v>
      </c>
      <c r="I183" s="15">
        <f>14.81*5</f>
        <v>74.05</v>
      </c>
      <c r="J183" s="15">
        <f t="shared" ref="J183:J194" si="14">I183</f>
        <v>74.05</v>
      </c>
      <c r="L183" s="15" t="s">
        <v>361</v>
      </c>
      <c r="M183" s="15" t="s">
        <v>269</v>
      </c>
      <c r="N183" s="15" t="s">
        <v>269</v>
      </c>
      <c r="O183" s="15" t="s">
        <v>360</v>
      </c>
    </row>
    <row r="184" spans="2:18">
      <c r="B184" s="51"/>
      <c r="C184" s="64" t="s">
        <v>1233</v>
      </c>
      <c r="D184" s="309" t="s">
        <v>219</v>
      </c>
      <c r="E184" s="289"/>
      <c r="F184" s="341" t="s">
        <v>194</v>
      </c>
      <c r="G184" s="329" t="s">
        <v>454</v>
      </c>
      <c r="H184" s="18" t="s">
        <v>789</v>
      </c>
      <c r="I184" s="15">
        <v>121.41</v>
      </c>
      <c r="J184" s="15">
        <f t="shared" si="14"/>
        <v>121.41</v>
      </c>
      <c r="L184" s="18" t="s">
        <v>546</v>
      </c>
      <c r="M184" s="18" t="s">
        <v>269</v>
      </c>
      <c r="N184" s="18" t="s">
        <v>547</v>
      </c>
      <c r="O184" s="18" t="s">
        <v>100</v>
      </c>
      <c r="P184"/>
      <c r="Q184" s="2">
        <f>SUM(J184:J192)</f>
        <v>712.47999999999979</v>
      </c>
      <c r="R184"/>
    </row>
    <row r="185" spans="2:18">
      <c r="B185" s="51"/>
      <c r="C185" s="64" t="s">
        <v>1233</v>
      </c>
      <c r="D185" s="309" t="s">
        <v>219</v>
      </c>
      <c r="E185" s="44"/>
      <c r="F185" s="341" t="s">
        <v>595</v>
      </c>
      <c r="G185" s="329" t="s">
        <v>540</v>
      </c>
      <c r="H185" s="18" t="s">
        <v>790</v>
      </c>
      <c r="I185" s="15">
        <v>480</v>
      </c>
      <c r="J185" s="15">
        <f t="shared" si="14"/>
        <v>480</v>
      </c>
      <c r="L185" s="18" t="s">
        <v>546</v>
      </c>
      <c r="M185" s="18" t="s">
        <v>269</v>
      </c>
      <c r="N185" s="18" t="s">
        <v>547</v>
      </c>
      <c r="O185" s="18" t="s">
        <v>100</v>
      </c>
      <c r="P185"/>
      <c r="Q185"/>
      <c r="R185"/>
    </row>
    <row r="186" spans="2:18">
      <c r="B186" s="51"/>
      <c r="C186" s="64" t="s">
        <v>1233</v>
      </c>
      <c r="D186" s="309" t="s">
        <v>219</v>
      </c>
      <c r="E186" s="44"/>
      <c r="F186" s="341" t="s">
        <v>594</v>
      </c>
      <c r="G186" s="329" t="s">
        <v>541</v>
      </c>
      <c r="H186" s="18" t="s">
        <v>791</v>
      </c>
      <c r="I186" s="15">
        <v>33.28</v>
      </c>
      <c r="J186" s="15">
        <f t="shared" si="14"/>
        <v>33.28</v>
      </c>
      <c r="K186" s="15">
        <v>100</v>
      </c>
      <c r="L186" s="18" t="s">
        <v>599</v>
      </c>
      <c r="M186" s="18" t="s">
        <v>269</v>
      </c>
      <c r="N186" s="18" t="s">
        <v>547</v>
      </c>
      <c r="O186" s="18" t="s">
        <v>100</v>
      </c>
      <c r="P186"/>
      <c r="Q186"/>
      <c r="R186"/>
    </row>
    <row r="187" spans="2:18">
      <c r="B187" s="51"/>
      <c r="C187" s="64" t="s">
        <v>1233</v>
      </c>
      <c r="D187" s="309" t="s">
        <v>219</v>
      </c>
      <c r="E187" s="44"/>
      <c r="F187" s="341" t="s">
        <v>594</v>
      </c>
      <c r="G187" s="329" t="s">
        <v>542</v>
      </c>
      <c r="H187" s="18" t="s">
        <v>792</v>
      </c>
      <c r="I187" s="15">
        <v>38.18</v>
      </c>
      <c r="J187" s="15">
        <f t="shared" si="14"/>
        <v>38.18</v>
      </c>
      <c r="K187" s="15">
        <v>100</v>
      </c>
      <c r="L187" s="18" t="s">
        <v>599</v>
      </c>
      <c r="M187" s="18" t="s">
        <v>269</v>
      </c>
      <c r="N187" s="18" t="s">
        <v>547</v>
      </c>
      <c r="O187" s="18" t="s">
        <v>100</v>
      </c>
      <c r="P187"/>
      <c r="Q187"/>
      <c r="R187"/>
    </row>
    <row r="188" spans="2:18">
      <c r="B188" s="51"/>
      <c r="C188" s="64" t="s">
        <v>1233</v>
      </c>
      <c r="D188" s="309" t="s">
        <v>219</v>
      </c>
      <c r="E188" s="44"/>
      <c r="F188" s="341" t="s">
        <v>192</v>
      </c>
      <c r="G188" s="329" t="s">
        <v>513</v>
      </c>
      <c r="H188" s="18" t="s">
        <v>793</v>
      </c>
      <c r="I188" s="15">
        <v>2.2400000000000002</v>
      </c>
      <c r="J188" s="15">
        <f t="shared" si="14"/>
        <v>2.2400000000000002</v>
      </c>
      <c r="L188" s="18" t="s">
        <v>572</v>
      </c>
      <c r="M188" s="18" t="s">
        <v>572</v>
      </c>
      <c r="N188" s="18" t="s">
        <v>548</v>
      </c>
      <c r="O188" s="18" t="s">
        <v>100</v>
      </c>
      <c r="P188"/>
      <c r="Q188"/>
      <c r="R188"/>
    </row>
    <row r="189" spans="2:18">
      <c r="B189" s="51"/>
      <c r="C189" s="64" t="s">
        <v>1233</v>
      </c>
      <c r="D189" s="309" t="s">
        <v>219</v>
      </c>
      <c r="E189" s="44"/>
      <c r="F189" s="341" t="s">
        <v>192</v>
      </c>
      <c r="G189" s="329" t="s">
        <v>515</v>
      </c>
      <c r="H189" s="18" t="s">
        <v>794</v>
      </c>
      <c r="I189" s="15">
        <v>2.2400000000000002</v>
      </c>
      <c r="J189" s="15">
        <f t="shared" si="14"/>
        <v>2.2400000000000002</v>
      </c>
      <c r="L189" s="18" t="s">
        <v>572</v>
      </c>
      <c r="M189" s="18" t="s">
        <v>572</v>
      </c>
      <c r="N189" s="18" t="s">
        <v>548</v>
      </c>
      <c r="O189" s="18" t="s">
        <v>100</v>
      </c>
      <c r="P189"/>
      <c r="Q189"/>
      <c r="R189"/>
    </row>
    <row r="190" spans="2:18">
      <c r="B190" s="51"/>
      <c r="C190" s="64" t="s">
        <v>1233</v>
      </c>
      <c r="D190" s="309" t="s">
        <v>219</v>
      </c>
      <c r="E190" s="44"/>
      <c r="F190" s="341" t="s">
        <v>192</v>
      </c>
      <c r="G190" s="329" t="s">
        <v>543</v>
      </c>
      <c r="H190" s="18" t="s">
        <v>795</v>
      </c>
      <c r="I190" s="15">
        <v>16.3</v>
      </c>
      <c r="J190" s="15">
        <f t="shared" si="14"/>
        <v>16.3</v>
      </c>
      <c r="L190" s="18" t="s">
        <v>572</v>
      </c>
      <c r="M190" s="18" t="s">
        <v>572</v>
      </c>
      <c r="N190" s="18" t="s">
        <v>548</v>
      </c>
      <c r="O190" s="18" t="s">
        <v>100</v>
      </c>
      <c r="P190"/>
      <c r="Q190"/>
      <c r="R190"/>
    </row>
    <row r="191" spans="2:18">
      <c r="B191" s="51"/>
      <c r="C191" s="64" t="s">
        <v>1233</v>
      </c>
      <c r="D191" s="309" t="s">
        <v>219</v>
      </c>
      <c r="E191" s="44"/>
      <c r="F191" s="341" t="s">
        <v>192</v>
      </c>
      <c r="G191" s="329" t="s">
        <v>544</v>
      </c>
      <c r="H191" s="18" t="s">
        <v>796</v>
      </c>
      <c r="I191" s="15">
        <v>16.3</v>
      </c>
      <c r="J191" s="15">
        <f t="shared" si="14"/>
        <v>16.3</v>
      </c>
      <c r="L191" s="18" t="s">
        <v>572</v>
      </c>
      <c r="M191" s="18" t="s">
        <v>572</v>
      </c>
      <c r="N191" s="18" t="s">
        <v>548</v>
      </c>
      <c r="O191" s="18" t="s">
        <v>100</v>
      </c>
      <c r="P191"/>
      <c r="Q191"/>
      <c r="R191"/>
    </row>
    <row r="192" spans="2:18">
      <c r="B192" s="245">
        <f>SUM(I184:I192)</f>
        <v>712.47999999999979</v>
      </c>
      <c r="C192" s="64" t="s">
        <v>1233</v>
      </c>
      <c r="D192" s="309" t="s">
        <v>219</v>
      </c>
      <c r="E192" s="44"/>
      <c r="F192" s="341" t="s">
        <v>355</v>
      </c>
      <c r="G192" s="329" t="s">
        <v>545</v>
      </c>
      <c r="H192" s="18" t="s">
        <v>797</v>
      </c>
      <c r="I192" s="15">
        <v>2.5299999999999998</v>
      </c>
      <c r="J192" s="15">
        <f t="shared" si="14"/>
        <v>2.5299999999999998</v>
      </c>
      <c r="L192" s="18" t="s">
        <v>268</v>
      </c>
      <c r="M192" s="18" t="s">
        <v>457</v>
      </c>
      <c r="N192" s="18" t="s">
        <v>548</v>
      </c>
      <c r="O192" s="18" t="s">
        <v>100</v>
      </c>
      <c r="P192"/>
      <c r="Q192"/>
      <c r="R192"/>
    </row>
    <row r="193" spans="2:18">
      <c r="B193" s="51"/>
      <c r="C193" s="335" t="s">
        <v>246</v>
      </c>
      <c r="D193" s="46" t="s">
        <v>219</v>
      </c>
      <c r="E193" s="46"/>
      <c r="F193" s="341" t="s">
        <v>194</v>
      </c>
      <c r="G193" s="330"/>
      <c r="H193" s="18" t="s">
        <v>798</v>
      </c>
      <c r="I193" s="15">
        <f>1264.82-I194</f>
        <v>1004.18</v>
      </c>
      <c r="J193" s="15">
        <f t="shared" si="14"/>
        <v>1004.18</v>
      </c>
      <c r="L193" s="18" t="s">
        <v>268</v>
      </c>
      <c r="M193" s="18" t="s">
        <v>100</v>
      </c>
      <c r="N193" s="18" t="s">
        <v>100</v>
      </c>
      <c r="O193" s="18"/>
      <c r="P193"/>
      <c r="Q193"/>
      <c r="R193"/>
    </row>
    <row r="194" spans="2:18">
      <c r="B194" s="51"/>
      <c r="C194" s="335" t="s">
        <v>246</v>
      </c>
      <c r="D194" s="46" t="s">
        <v>219</v>
      </c>
      <c r="E194" s="46"/>
      <c r="F194" s="341" t="s">
        <v>194</v>
      </c>
      <c r="G194" s="330"/>
      <c r="H194" s="18" t="s">
        <v>798</v>
      </c>
      <c r="I194" s="15">
        <v>260.64</v>
      </c>
      <c r="J194" s="15">
        <f t="shared" si="14"/>
        <v>260.64</v>
      </c>
      <c r="K194" s="15">
        <v>0</v>
      </c>
      <c r="L194" s="18" t="s">
        <v>268</v>
      </c>
      <c r="M194" s="18" t="s">
        <v>100</v>
      </c>
      <c r="N194" s="18" t="s">
        <v>100</v>
      </c>
      <c r="O194" s="18" t="s">
        <v>100</v>
      </c>
      <c r="P194"/>
      <c r="Q194" s="2">
        <f>J194</f>
        <v>260.64</v>
      </c>
      <c r="R194"/>
    </row>
    <row r="195" spans="2:18">
      <c r="C195" s="229"/>
      <c r="D195" s="3"/>
      <c r="E195" s="3"/>
      <c r="F195" s="240"/>
      <c r="G195" s="240"/>
      <c r="H195"/>
      <c r="I195" s="2"/>
      <c r="J195" s="2"/>
      <c r="K195" s="2"/>
      <c r="L195"/>
      <c r="M195"/>
      <c r="N195"/>
      <c r="O195" s="66"/>
      <c r="P195"/>
      <c r="Q195"/>
      <c r="R195"/>
    </row>
    <row r="196" spans="2:18">
      <c r="C196" s="229"/>
      <c r="D196" s="3"/>
      <c r="E196" s="3"/>
      <c r="F196" s="240"/>
      <c r="G196" s="331"/>
      <c r="H196"/>
      <c r="I196"/>
      <c r="J196"/>
      <c r="K196"/>
      <c r="L196"/>
      <c r="M196"/>
      <c r="N196"/>
      <c r="O196" s="66"/>
      <c r="P196"/>
      <c r="Q196"/>
      <c r="R196"/>
    </row>
    <row r="197" spans="2:18">
      <c r="C197" s="339" t="s">
        <v>820</v>
      </c>
      <c r="D197" s="44" t="s">
        <v>644</v>
      </c>
      <c r="E197" s="44"/>
      <c r="F197" s="341" t="s">
        <v>619</v>
      </c>
      <c r="G197" s="96" t="s">
        <v>1965</v>
      </c>
      <c r="I197" s="21">
        <v>6475.18</v>
      </c>
      <c r="J197" s="21">
        <v>6475.18</v>
      </c>
      <c r="L197" s="18" t="s">
        <v>100</v>
      </c>
      <c r="M197" s="18" t="s">
        <v>100</v>
      </c>
      <c r="N197" s="18" t="s">
        <v>100</v>
      </c>
      <c r="O197" s="18" t="s">
        <v>100</v>
      </c>
      <c r="P197"/>
      <c r="Q197"/>
      <c r="R197"/>
    </row>
    <row r="198" spans="2:18">
      <c r="C198" s="339" t="s">
        <v>820</v>
      </c>
      <c r="D198" s="44" t="s">
        <v>644</v>
      </c>
      <c r="E198" s="44"/>
      <c r="F198" s="341" t="s">
        <v>619</v>
      </c>
      <c r="G198" s="96" t="s">
        <v>1966</v>
      </c>
      <c r="I198" s="21">
        <v>1013.08</v>
      </c>
      <c r="J198" s="21">
        <v>1013.08</v>
      </c>
      <c r="L198" s="18" t="s">
        <v>100</v>
      </c>
      <c r="M198" s="18" t="s">
        <v>100</v>
      </c>
      <c r="N198" s="18" t="s">
        <v>100</v>
      </c>
      <c r="O198" s="18" t="s">
        <v>100</v>
      </c>
      <c r="P198"/>
      <c r="Q198"/>
      <c r="R198"/>
    </row>
    <row r="199" spans="2:18">
      <c r="C199" s="339" t="s">
        <v>820</v>
      </c>
      <c r="D199" s="44" t="s">
        <v>644</v>
      </c>
      <c r="E199" s="44"/>
      <c r="F199" s="341" t="s">
        <v>616</v>
      </c>
      <c r="G199" s="96" t="s">
        <v>1967</v>
      </c>
      <c r="I199" s="21">
        <v>3300.08</v>
      </c>
      <c r="J199" s="21">
        <v>3300.08</v>
      </c>
      <c r="L199" s="18" t="s">
        <v>100</v>
      </c>
      <c r="M199" s="18" t="s">
        <v>100</v>
      </c>
      <c r="N199" s="18" t="s">
        <v>100</v>
      </c>
      <c r="O199" s="18" t="s">
        <v>100</v>
      </c>
      <c r="P199"/>
      <c r="Q199"/>
      <c r="R199"/>
    </row>
    <row r="200" spans="2:18">
      <c r="C200" s="339" t="s">
        <v>820</v>
      </c>
      <c r="D200" s="44" t="s">
        <v>644</v>
      </c>
      <c r="E200" s="44"/>
      <c r="F200" s="341" t="s">
        <v>602</v>
      </c>
      <c r="G200" s="96" t="s">
        <v>1968</v>
      </c>
      <c r="I200" s="21">
        <v>1913.59</v>
      </c>
      <c r="J200" s="21">
        <v>1913.59</v>
      </c>
      <c r="L200" s="18" t="s">
        <v>100</v>
      </c>
      <c r="M200" s="18" t="s">
        <v>100</v>
      </c>
      <c r="N200" s="18" t="s">
        <v>100</v>
      </c>
      <c r="O200" s="18" t="s">
        <v>100</v>
      </c>
      <c r="P200"/>
      <c r="Q200"/>
      <c r="R200"/>
    </row>
    <row r="201" spans="2:18">
      <c r="C201" s="339" t="s">
        <v>820</v>
      </c>
      <c r="D201" s="44" t="s">
        <v>644</v>
      </c>
      <c r="E201" s="44"/>
      <c r="F201" s="341" t="s">
        <v>615</v>
      </c>
      <c r="G201" s="96" t="s">
        <v>1969</v>
      </c>
      <c r="H201" s="48"/>
      <c r="I201" s="48">
        <v>3250.61</v>
      </c>
      <c r="J201" s="48">
        <v>3250.61</v>
      </c>
      <c r="K201" s="48"/>
      <c r="L201" s="48"/>
      <c r="M201" s="48"/>
      <c r="N201" s="48"/>
      <c r="O201" s="48"/>
      <c r="P201"/>
      <c r="Q201"/>
      <c r="R201"/>
    </row>
    <row r="202" spans="2:18">
      <c r="C202" s="339" t="s">
        <v>820</v>
      </c>
      <c r="D202" s="44" t="s">
        <v>644</v>
      </c>
      <c r="E202" s="44"/>
      <c r="F202" s="341" t="s">
        <v>615</v>
      </c>
      <c r="G202" s="96" t="s">
        <v>1970</v>
      </c>
      <c r="H202" s="48"/>
      <c r="I202" s="48">
        <v>144.53</v>
      </c>
      <c r="J202" s="48">
        <v>144.53</v>
      </c>
      <c r="K202" s="48"/>
      <c r="L202" s="48"/>
      <c r="M202" s="48"/>
      <c r="N202" s="48"/>
      <c r="O202" s="48"/>
      <c r="P202"/>
      <c r="Q202"/>
      <c r="R202"/>
    </row>
    <row r="203" spans="2:18">
      <c r="C203" s="339" t="s">
        <v>820</v>
      </c>
      <c r="D203" s="44" t="s">
        <v>644</v>
      </c>
      <c r="E203" s="44"/>
      <c r="F203" s="341" t="s">
        <v>616</v>
      </c>
      <c r="G203" s="96" t="s">
        <v>1971</v>
      </c>
      <c r="H203" s="48"/>
      <c r="I203" s="48">
        <v>346.56</v>
      </c>
      <c r="J203" s="48">
        <v>346.56</v>
      </c>
      <c r="K203" s="48"/>
      <c r="L203" s="48"/>
      <c r="M203" s="48"/>
      <c r="N203" s="48"/>
      <c r="O203" s="48"/>
      <c r="P203"/>
      <c r="Q203"/>
      <c r="R203"/>
    </row>
    <row r="204" spans="2:18">
      <c r="F204" s="96"/>
      <c r="G204" s="96"/>
      <c r="H204" s="48"/>
      <c r="I204" s="48"/>
      <c r="J204" s="48"/>
      <c r="K204" s="48"/>
      <c r="L204" s="48"/>
      <c r="M204" s="48"/>
      <c r="N204" s="48"/>
      <c r="O204" s="48"/>
      <c r="P204"/>
      <c r="Q204"/>
      <c r="R204"/>
    </row>
    <row r="205" spans="2:18">
      <c r="F205" s="96"/>
      <c r="G205" s="332"/>
      <c r="H205" s="48"/>
      <c r="I205" s="48"/>
      <c r="J205" s="48"/>
      <c r="K205" s="48"/>
      <c r="L205" s="48"/>
      <c r="M205" s="48"/>
      <c r="N205" s="48"/>
      <c r="O205" s="48"/>
      <c r="P205"/>
      <c r="Q205"/>
      <c r="R205"/>
    </row>
    <row r="206" spans="2:18">
      <c r="F206" s="96"/>
      <c r="G206" s="96"/>
      <c r="H206" s="48"/>
      <c r="I206" s="48"/>
      <c r="J206" s="48"/>
      <c r="K206" s="48"/>
      <c r="L206" s="48"/>
      <c r="M206" s="48"/>
      <c r="N206" s="48"/>
      <c r="O206" s="48"/>
      <c r="P206"/>
      <c r="Q206"/>
      <c r="R206"/>
    </row>
    <row r="207" spans="2:18">
      <c r="C207" s="325" t="s">
        <v>2347</v>
      </c>
      <c r="D207" s="326"/>
      <c r="E207" s="326"/>
      <c r="F207" s="343"/>
      <c r="G207" s="343"/>
      <c r="H207" s="327"/>
      <c r="I207" s="327"/>
      <c r="J207" s="327"/>
      <c r="K207" s="327"/>
      <c r="L207" s="327"/>
      <c r="M207" s="327"/>
      <c r="N207" s="327"/>
      <c r="O207" s="48"/>
      <c r="P207"/>
      <c r="Q207"/>
      <c r="R207"/>
    </row>
    <row r="208" spans="2:18">
      <c r="C208" s="325" t="s">
        <v>108</v>
      </c>
      <c r="D208" s="389" t="s">
        <v>2050</v>
      </c>
      <c r="E208" s="326"/>
      <c r="F208" s="343"/>
      <c r="G208" s="96"/>
      <c r="H208" s="48"/>
      <c r="I208" s="48"/>
      <c r="J208" s="48"/>
      <c r="K208" s="48"/>
      <c r="M208" s="48"/>
      <c r="N208" s="48"/>
      <c r="O208" s="48"/>
      <c r="P208"/>
      <c r="Q208"/>
      <c r="R208"/>
    </row>
    <row r="209" spans="3:15">
      <c r="C209" s="64" t="s">
        <v>110</v>
      </c>
      <c r="D209" s="304" t="s">
        <v>219</v>
      </c>
      <c r="F209" s="96" t="s">
        <v>194</v>
      </c>
      <c r="G209" s="164" t="s">
        <v>2033</v>
      </c>
      <c r="H209" s="74"/>
      <c r="I209" s="74">
        <v>63.68</v>
      </c>
      <c r="J209" s="74">
        <v>63.68</v>
      </c>
      <c r="L209" s="15" t="s">
        <v>911</v>
      </c>
      <c r="M209" s="15" t="s">
        <v>277</v>
      </c>
      <c r="N209" s="15" t="s">
        <v>276</v>
      </c>
      <c r="O209" s="15" t="s">
        <v>911</v>
      </c>
    </row>
    <row r="210" spans="3:15">
      <c r="C210" s="64" t="s">
        <v>110</v>
      </c>
      <c r="D210" s="304" t="s">
        <v>219</v>
      </c>
      <c r="F210" s="96" t="s">
        <v>355</v>
      </c>
      <c r="G210" s="164" t="s">
        <v>2034</v>
      </c>
      <c r="H210" s="74"/>
      <c r="I210" s="74">
        <v>10.43</v>
      </c>
      <c r="J210" s="74">
        <v>10.43</v>
      </c>
      <c r="L210" s="15" t="s">
        <v>911</v>
      </c>
      <c r="M210" s="388" t="s">
        <v>2045</v>
      </c>
      <c r="N210" s="15" t="s">
        <v>276</v>
      </c>
      <c r="O210" s="15" t="s">
        <v>911</v>
      </c>
    </row>
    <row r="211" spans="3:15">
      <c r="C211" s="64" t="s">
        <v>110</v>
      </c>
      <c r="D211" s="304" t="s">
        <v>219</v>
      </c>
      <c r="F211" s="96" t="s">
        <v>355</v>
      </c>
      <c r="G211" s="164" t="s">
        <v>27</v>
      </c>
      <c r="H211" s="74"/>
      <c r="I211" s="74">
        <v>2.1800000000000002</v>
      </c>
      <c r="J211" s="74">
        <v>2.1800000000000002</v>
      </c>
      <c r="L211" s="18" t="s">
        <v>572</v>
      </c>
      <c r="M211" s="18" t="s">
        <v>572</v>
      </c>
      <c r="N211" s="15" t="s">
        <v>276</v>
      </c>
      <c r="O211" s="18" t="s">
        <v>100</v>
      </c>
    </row>
    <row r="212" spans="3:15">
      <c r="C212" s="64" t="s">
        <v>110</v>
      </c>
      <c r="D212" s="304" t="s">
        <v>219</v>
      </c>
      <c r="F212" s="96" t="s">
        <v>249</v>
      </c>
      <c r="G212" s="164" t="s">
        <v>470</v>
      </c>
      <c r="H212" s="74"/>
      <c r="I212" s="74">
        <v>3.39</v>
      </c>
      <c r="J212" s="74">
        <v>3.39</v>
      </c>
      <c r="L212" s="15" t="s">
        <v>911</v>
      </c>
      <c r="M212" s="15" t="s">
        <v>277</v>
      </c>
      <c r="N212" s="15" t="s">
        <v>276</v>
      </c>
      <c r="O212" s="15" t="s">
        <v>911</v>
      </c>
    </row>
    <row r="213" spans="3:15">
      <c r="C213" s="64" t="s">
        <v>110</v>
      </c>
      <c r="D213" s="304" t="s">
        <v>219</v>
      </c>
      <c r="F213" s="96" t="s">
        <v>1371</v>
      </c>
      <c r="G213" s="164" t="s">
        <v>2035</v>
      </c>
      <c r="H213" s="74"/>
      <c r="I213" s="74">
        <v>6.88</v>
      </c>
      <c r="J213" s="74">
        <v>6.88</v>
      </c>
      <c r="L213" s="15" t="s">
        <v>911</v>
      </c>
      <c r="M213" s="15" t="s">
        <v>277</v>
      </c>
      <c r="N213" s="15" t="s">
        <v>276</v>
      </c>
      <c r="O213" s="15" t="s">
        <v>911</v>
      </c>
    </row>
    <row r="214" spans="3:15">
      <c r="C214" s="64" t="s">
        <v>110</v>
      </c>
      <c r="D214" s="304" t="s">
        <v>219</v>
      </c>
      <c r="F214" s="96" t="s">
        <v>1371</v>
      </c>
      <c r="G214" s="164" t="s">
        <v>2036</v>
      </c>
      <c r="H214" s="74"/>
      <c r="I214" s="74">
        <v>4.6500000000000004</v>
      </c>
      <c r="J214" s="74">
        <v>4.6500000000000004</v>
      </c>
      <c r="L214" s="15" t="s">
        <v>911</v>
      </c>
      <c r="M214" s="15" t="s">
        <v>277</v>
      </c>
      <c r="N214" s="15" t="s">
        <v>276</v>
      </c>
      <c r="O214" s="15" t="s">
        <v>911</v>
      </c>
    </row>
    <row r="215" spans="3:15">
      <c r="C215" s="64" t="s">
        <v>110</v>
      </c>
      <c r="D215" s="304" t="s">
        <v>219</v>
      </c>
      <c r="F215" s="96" t="s">
        <v>1371</v>
      </c>
      <c r="G215" s="164" t="s">
        <v>2037</v>
      </c>
      <c r="H215" s="74"/>
      <c r="I215" s="74">
        <v>3.49</v>
      </c>
      <c r="J215" s="74">
        <v>3.49</v>
      </c>
      <c r="L215" s="15" t="s">
        <v>911</v>
      </c>
      <c r="M215" s="15" t="s">
        <v>277</v>
      </c>
      <c r="N215" s="15" t="s">
        <v>276</v>
      </c>
      <c r="O215" s="15" t="s">
        <v>911</v>
      </c>
    </row>
    <row r="216" spans="3:15">
      <c r="C216" s="64" t="s">
        <v>110</v>
      </c>
      <c r="D216" s="304" t="s">
        <v>219</v>
      </c>
      <c r="F216" s="96" t="s">
        <v>192</v>
      </c>
      <c r="G216" s="164" t="s">
        <v>1975</v>
      </c>
      <c r="H216" s="74"/>
      <c r="I216" s="74">
        <v>3.43</v>
      </c>
      <c r="J216" s="74">
        <v>3.43</v>
      </c>
      <c r="L216" s="18" t="s">
        <v>572</v>
      </c>
      <c r="M216" s="18" t="s">
        <v>572</v>
      </c>
      <c r="N216" s="15" t="s">
        <v>276</v>
      </c>
      <c r="O216" s="18" t="s">
        <v>100</v>
      </c>
    </row>
    <row r="217" spans="3:15">
      <c r="C217" s="64" t="s">
        <v>110</v>
      </c>
      <c r="D217" s="304" t="s">
        <v>219</v>
      </c>
      <c r="F217" s="96" t="s">
        <v>192</v>
      </c>
      <c r="G217" s="164" t="s">
        <v>1974</v>
      </c>
      <c r="H217" s="74"/>
      <c r="I217" s="74">
        <v>3.43</v>
      </c>
      <c r="J217" s="74">
        <v>3.43</v>
      </c>
      <c r="L217" s="18" t="s">
        <v>572</v>
      </c>
      <c r="M217" s="18" t="s">
        <v>572</v>
      </c>
      <c r="N217" s="15" t="s">
        <v>276</v>
      </c>
      <c r="O217" s="18" t="s">
        <v>100</v>
      </c>
    </row>
    <row r="218" spans="3:15">
      <c r="C218" s="64" t="s">
        <v>110</v>
      </c>
      <c r="D218" s="304" t="s">
        <v>219</v>
      </c>
      <c r="F218" s="96" t="s">
        <v>192</v>
      </c>
      <c r="G218" s="34" t="s">
        <v>2038</v>
      </c>
      <c r="H218" s="13"/>
      <c r="I218" s="13">
        <v>9.65</v>
      </c>
      <c r="J218" s="13">
        <v>9.65</v>
      </c>
      <c r="L218" s="18" t="s">
        <v>572</v>
      </c>
      <c r="M218" s="18" t="s">
        <v>572</v>
      </c>
      <c r="N218" s="15" t="s">
        <v>276</v>
      </c>
      <c r="O218" s="18" t="s">
        <v>100</v>
      </c>
    </row>
    <row r="219" spans="3:15">
      <c r="C219" s="64" t="s">
        <v>110</v>
      </c>
      <c r="D219" s="304" t="s">
        <v>219</v>
      </c>
      <c r="F219" s="96" t="s">
        <v>192</v>
      </c>
      <c r="G219" s="164" t="s">
        <v>2039</v>
      </c>
      <c r="H219" s="74"/>
      <c r="I219" s="74">
        <v>9.65</v>
      </c>
      <c r="J219" s="74">
        <v>9.65</v>
      </c>
      <c r="L219" s="18" t="s">
        <v>572</v>
      </c>
      <c r="M219" s="18" t="s">
        <v>572</v>
      </c>
      <c r="N219" s="15" t="s">
        <v>276</v>
      </c>
      <c r="O219" s="18" t="s">
        <v>100</v>
      </c>
    </row>
    <row r="220" spans="3:15">
      <c r="C220" s="64" t="s">
        <v>110</v>
      </c>
      <c r="D220" s="304" t="s">
        <v>219</v>
      </c>
      <c r="F220" s="96" t="s">
        <v>110</v>
      </c>
      <c r="G220" s="164" t="s">
        <v>2040</v>
      </c>
      <c r="H220" s="74"/>
      <c r="I220" s="74">
        <v>405.22</v>
      </c>
      <c r="J220" s="74">
        <v>405.22</v>
      </c>
      <c r="L220" s="15" t="s">
        <v>356</v>
      </c>
      <c r="M220" s="15" t="s">
        <v>277</v>
      </c>
      <c r="N220" s="15" t="s">
        <v>2048</v>
      </c>
      <c r="O220" s="15" t="s">
        <v>2049</v>
      </c>
    </row>
    <row r="221" spans="3:15">
      <c r="C221" s="64" t="s">
        <v>110</v>
      </c>
      <c r="D221" s="304" t="s">
        <v>219</v>
      </c>
      <c r="F221" s="96" t="s">
        <v>249</v>
      </c>
      <c r="G221" s="164" t="s">
        <v>2041</v>
      </c>
      <c r="H221" s="74"/>
      <c r="I221" s="74">
        <v>33.770000000000003</v>
      </c>
      <c r="J221" s="74">
        <v>33.770000000000003</v>
      </c>
      <c r="L221" s="15" t="s">
        <v>911</v>
      </c>
      <c r="M221" s="15" t="s">
        <v>277</v>
      </c>
      <c r="N221" s="15" t="s">
        <v>276</v>
      </c>
      <c r="O221" s="15" t="s">
        <v>911</v>
      </c>
    </row>
    <row r="222" spans="3:15">
      <c r="C222" s="64" t="s">
        <v>110</v>
      </c>
      <c r="D222" s="304" t="s">
        <v>219</v>
      </c>
      <c r="F222" s="96" t="s">
        <v>192</v>
      </c>
      <c r="G222" s="164" t="s">
        <v>2042</v>
      </c>
      <c r="H222" s="74"/>
      <c r="I222" s="74">
        <v>4.2699999999999996</v>
      </c>
      <c r="J222" s="74">
        <v>4.2699999999999996</v>
      </c>
      <c r="L222" s="18" t="s">
        <v>572</v>
      </c>
      <c r="M222" s="18" t="s">
        <v>572</v>
      </c>
      <c r="N222" s="15" t="s">
        <v>2046</v>
      </c>
      <c r="O222" s="18" t="s">
        <v>100</v>
      </c>
    </row>
    <row r="223" spans="3:15">
      <c r="C223" s="64" t="s">
        <v>110</v>
      </c>
      <c r="D223" s="304" t="s">
        <v>219</v>
      </c>
      <c r="F223" s="96" t="s">
        <v>355</v>
      </c>
      <c r="G223" s="164" t="s">
        <v>2043</v>
      </c>
      <c r="H223" s="74"/>
      <c r="I223" s="74">
        <v>16.75</v>
      </c>
      <c r="J223" s="74">
        <v>16.75</v>
      </c>
      <c r="L223" s="18" t="s">
        <v>572</v>
      </c>
      <c r="M223" s="15" t="s">
        <v>277</v>
      </c>
      <c r="N223" s="15" t="s">
        <v>2047</v>
      </c>
      <c r="O223" s="18" t="s">
        <v>572</v>
      </c>
    </row>
    <row r="224" spans="3:15">
      <c r="C224" s="64" t="s">
        <v>110</v>
      </c>
      <c r="D224" s="304" t="s">
        <v>219</v>
      </c>
      <c r="F224" s="96" t="s">
        <v>355</v>
      </c>
      <c r="G224" s="164" t="s">
        <v>2044</v>
      </c>
      <c r="H224" s="74"/>
      <c r="I224" s="74">
        <v>17.079999999999998</v>
      </c>
      <c r="J224" s="74">
        <v>17.079999999999998</v>
      </c>
      <c r="L224" s="18" t="s">
        <v>572</v>
      </c>
      <c r="M224" s="15" t="s">
        <v>277</v>
      </c>
      <c r="N224" s="15" t="s">
        <v>2047</v>
      </c>
      <c r="O224" s="18" t="s">
        <v>572</v>
      </c>
    </row>
    <row r="225" spans="3:18">
      <c r="C225" s="64" t="s">
        <v>110</v>
      </c>
      <c r="D225" s="304" t="s">
        <v>219</v>
      </c>
      <c r="F225" s="96" t="s">
        <v>355</v>
      </c>
      <c r="G225" s="164" t="s">
        <v>218</v>
      </c>
      <c r="H225" s="74"/>
      <c r="I225" s="74">
        <v>5.01</v>
      </c>
      <c r="J225" s="74">
        <v>5.01</v>
      </c>
      <c r="L225" s="18" t="s">
        <v>572</v>
      </c>
      <c r="M225" s="15" t="s">
        <v>277</v>
      </c>
      <c r="N225" s="15" t="s">
        <v>2047</v>
      </c>
      <c r="O225" s="18" t="s">
        <v>572</v>
      </c>
    </row>
    <row r="226" spans="3:18">
      <c r="C226" s="339" t="s">
        <v>820</v>
      </c>
      <c r="D226" s="44" t="s">
        <v>644</v>
      </c>
      <c r="E226" s="44" t="s">
        <v>110</v>
      </c>
      <c r="F226" s="341" t="s">
        <v>616</v>
      </c>
      <c r="G226" s="96" t="s">
        <v>2052</v>
      </c>
      <c r="H226" s="48"/>
      <c r="I226" s="48"/>
      <c r="J226" s="48">
        <v>240.2</v>
      </c>
      <c r="K226" s="48"/>
      <c r="L226" s="48"/>
      <c r="M226" s="48"/>
      <c r="N226" s="48"/>
      <c r="O226" s="48"/>
      <c r="P226"/>
      <c r="Q226"/>
      <c r="R226"/>
    </row>
    <row r="227" spans="3:18">
      <c r="C227" s="339" t="s">
        <v>820</v>
      </c>
      <c r="D227" s="44" t="s">
        <v>644</v>
      </c>
      <c r="E227" s="44" t="s">
        <v>110</v>
      </c>
      <c r="F227" s="341" t="s">
        <v>602</v>
      </c>
      <c r="G227" s="96" t="s">
        <v>2053</v>
      </c>
      <c r="H227" s="48"/>
      <c r="I227" s="48"/>
      <c r="J227" s="48">
        <v>545.44000000000005</v>
      </c>
      <c r="K227" s="48"/>
      <c r="L227" s="48"/>
      <c r="M227" s="48"/>
      <c r="N227" s="48"/>
      <c r="O227" s="48"/>
      <c r="P227"/>
      <c r="Q227"/>
      <c r="R227"/>
    </row>
    <row r="228" spans="3:18">
      <c r="C228" s="485" t="s">
        <v>2348</v>
      </c>
      <c r="D228" s="486"/>
      <c r="E228" s="486"/>
      <c r="F228" s="487"/>
      <c r="G228" s="487"/>
      <c r="H228" s="488"/>
      <c r="I228" s="488"/>
      <c r="J228" s="488"/>
      <c r="K228" s="488"/>
      <c r="L228" s="488"/>
      <c r="M228" s="488"/>
      <c r="N228" s="488"/>
      <c r="O228" s="48"/>
      <c r="P228"/>
      <c r="Q228"/>
      <c r="R228"/>
    </row>
    <row r="229" spans="3:18">
      <c r="C229" s="485" t="s">
        <v>1972</v>
      </c>
      <c r="D229" s="486"/>
      <c r="E229" s="486"/>
      <c r="F229" s="487"/>
      <c r="G229" s="96"/>
      <c r="H229" s="48"/>
      <c r="I229" s="48"/>
      <c r="J229" s="48"/>
      <c r="K229" s="48"/>
      <c r="L229" s="48"/>
      <c r="M229" s="48"/>
      <c r="N229" s="48"/>
      <c r="O229" s="48"/>
      <c r="P229"/>
      <c r="Q229"/>
      <c r="R229"/>
    </row>
    <row r="230" spans="3:18">
      <c r="C230" s="64" t="s">
        <v>1976</v>
      </c>
      <c r="D230" s="64" t="s">
        <v>219</v>
      </c>
      <c r="E230" s="18" t="s">
        <v>1885</v>
      </c>
      <c r="F230" s="96" t="s">
        <v>248</v>
      </c>
      <c r="G230" s="96" t="s">
        <v>319</v>
      </c>
      <c r="H230" s="48">
        <v>113</v>
      </c>
      <c r="I230" s="48">
        <v>71.319999999999993</v>
      </c>
      <c r="J230" s="12">
        <v>71.319999999999993</v>
      </c>
      <c r="K230" s="48">
        <v>55</v>
      </c>
      <c r="L230" s="15" t="s">
        <v>911</v>
      </c>
      <c r="M230" s="48" t="s">
        <v>277</v>
      </c>
      <c r="N230" s="48" t="s">
        <v>2271</v>
      </c>
      <c r="O230" s="48" t="s">
        <v>911</v>
      </c>
      <c r="P230"/>
      <c r="Q230"/>
      <c r="R230"/>
    </row>
    <row r="231" spans="3:18">
      <c r="C231" s="64" t="s">
        <v>1976</v>
      </c>
      <c r="D231" s="64" t="s">
        <v>219</v>
      </c>
      <c r="E231" s="18" t="s">
        <v>1885</v>
      </c>
      <c r="F231" s="96" t="s">
        <v>248</v>
      </c>
      <c r="G231" s="96" t="s">
        <v>318</v>
      </c>
      <c r="H231" s="48">
        <v>114</v>
      </c>
      <c r="I231" s="48">
        <v>71.430000000000007</v>
      </c>
      <c r="J231" s="12">
        <v>71.430000000000007</v>
      </c>
      <c r="K231" s="48">
        <v>55</v>
      </c>
      <c r="L231" s="15" t="s">
        <v>911</v>
      </c>
      <c r="M231" s="48" t="s">
        <v>277</v>
      </c>
      <c r="N231" s="48" t="s">
        <v>2271</v>
      </c>
      <c r="O231" s="48" t="s">
        <v>911</v>
      </c>
      <c r="P231"/>
      <c r="Q231"/>
      <c r="R231"/>
    </row>
    <row r="232" spans="3:18">
      <c r="C232" s="64" t="s">
        <v>1976</v>
      </c>
      <c r="D232" s="64" t="s">
        <v>219</v>
      </c>
      <c r="E232" s="18" t="s">
        <v>1885</v>
      </c>
      <c r="F232" s="96" t="s">
        <v>248</v>
      </c>
      <c r="G232" s="96" t="s">
        <v>317</v>
      </c>
      <c r="H232" s="48">
        <v>115</v>
      </c>
      <c r="I232" s="48">
        <v>71.349999999999994</v>
      </c>
      <c r="J232" s="12">
        <v>71.349999999999994</v>
      </c>
      <c r="K232" s="48">
        <v>55</v>
      </c>
      <c r="L232" s="15" t="s">
        <v>911</v>
      </c>
      <c r="M232" s="48" t="s">
        <v>277</v>
      </c>
      <c r="N232" s="48" t="s">
        <v>2271</v>
      </c>
      <c r="O232" s="48" t="s">
        <v>911</v>
      </c>
      <c r="P232"/>
      <c r="Q232"/>
      <c r="R232"/>
    </row>
    <row r="233" spans="3:18">
      <c r="C233" s="64" t="s">
        <v>1976</v>
      </c>
      <c r="D233" s="64" t="s">
        <v>219</v>
      </c>
      <c r="E233" s="18" t="s">
        <v>1885</v>
      </c>
      <c r="F233" s="96" t="s">
        <v>249</v>
      </c>
      <c r="G233" s="96" t="s">
        <v>2272</v>
      </c>
      <c r="H233" s="48"/>
      <c r="I233" s="48">
        <v>38.200000000000003</v>
      </c>
      <c r="J233" s="12">
        <v>38.200000000000003</v>
      </c>
      <c r="K233" s="48">
        <v>16</v>
      </c>
      <c r="L233" s="15" t="s">
        <v>911</v>
      </c>
      <c r="M233" s="48" t="s">
        <v>277</v>
      </c>
      <c r="N233" s="48" t="s">
        <v>2273</v>
      </c>
      <c r="O233" s="48" t="s">
        <v>911</v>
      </c>
      <c r="P233"/>
      <c r="Q233"/>
      <c r="R233"/>
    </row>
    <row r="234" spans="3:18">
      <c r="C234" s="64" t="s">
        <v>1976</v>
      </c>
      <c r="D234" s="64" t="s">
        <v>219</v>
      </c>
      <c r="E234" s="18" t="s">
        <v>1885</v>
      </c>
      <c r="F234" s="96" t="s">
        <v>249</v>
      </c>
      <c r="G234" s="96" t="s">
        <v>2274</v>
      </c>
      <c r="H234" s="48"/>
      <c r="I234" s="48">
        <v>39.33</v>
      </c>
      <c r="J234" s="12">
        <v>39.33</v>
      </c>
      <c r="K234" s="48">
        <v>19</v>
      </c>
      <c r="L234" s="15" t="s">
        <v>911</v>
      </c>
      <c r="M234" s="48" t="s">
        <v>277</v>
      </c>
      <c r="N234" s="48" t="s">
        <v>2273</v>
      </c>
      <c r="O234" s="48" t="s">
        <v>911</v>
      </c>
      <c r="P234"/>
      <c r="Q234"/>
      <c r="R234"/>
    </row>
    <row r="235" spans="3:18">
      <c r="C235" s="64" t="s">
        <v>1976</v>
      </c>
      <c r="D235" s="64" t="s">
        <v>219</v>
      </c>
      <c r="E235" s="18" t="s">
        <v>1885</v>
      </c>
      <c r="F235" s="96" t="s">
        <v>355</v>
      </c>
      <c r="G235" s="96" t="s">
        <v>2275</v>
      </c>
      <c r="H235" s="48">
        <v>112</v>
      </c>
      <c r="I235" s="48">
        <v>13.41</v>
      </c>
      <c r="J235" s="12">
        <v>13.41</v>
      </c>
      <c r="K235" s="48">
        <v>2</v>
      </c>
      <c r="L235" s="15" t="s">
        <v>911</v>
      </c>
      <c r="M235" s="48" t="s">
        <v>277</v>
      </c>
      <c r="N235" s="48" t="s">
        <v>2271</v>
      </c>
      <c r="O235" s="48" t="s">
        <v>911</v>
      </c>
      <c r="P235"/>
      <c r="Q235"/>
      <c r="R235"/>
    </row>
    <row r="236" spans="3:18">
      <c r="C236" s="64" t="s">
        <v>1976</v>
      </c>
      <c r="D236" s="64" t="s">
        <v>219</v>
      </c>
      <c r="E236" s="18" t="s">
        <v>1885</v>
      </c>
      <c r="F236" s="96" t="s">
        <v>208</v>
      </c>
      <c r="G236" s="96" t="s">
        <v>2276</v>
      </c>
      <c r="H236" s="48">
        <v>111</v>
      </c>
      <c r="I236" s="48">
        <v>18.97</v>
      </c>
      <c r="J236" s="12">
        <v>18.97</v>
      </c>
      <c r="K236" s="48">
        <v>6</v>
      </c>
      <c r="L236" s="15" t="s">
        <v>911</v>
      </c>
      <c r="M236" s="48" t="s">
        <v>277</v>
      </c>
      <c r="N236" s="48" t="s">
        <v>2271</v>
      </c>
      <c r="O236" s="48" t="s">
        <v>911</v>
      </c>
      <c r="P236"/>
      <c r="Q236"/>
      <c r="R236"/>
    </row>
    <row r="237" spans="3:18">
      <c r="C237" s="64" t="s">
        <v>1976</v>
      </c>
      <c r="D237" s="64" t="s">
        <v>219</v>
      </c>
      <c r="E237" s="18" t="s">
        <v>1885</v>
      </c>
      <c r="F237" s="96" t="s">
        <v>355</v>
      </c>
      <c r="G237" s="96" t="s">
        <v>217</v>
      </c>
      <c r="H237" s="48">
        <v>110</v>
      </c>
      <c r="I237" s="48">
        <v>18.86</v>
      </c>
      <c r="J237" s="12">
        <v>18.86</v>
      </c>
      <c r="K237" s="48">
        <v>6</v>
      </c>
      <c r="L237" s="15" t="s">
        <v>911</v>
      </c>
      <c r="M237" s="48" t="s">
        <v>277</v>
      </c>
      <c r="N237" s="48" t="s">
        <v>2271</v>
      </c>
      <c r="O237" s="48" t="s">
        <v>911</v>
      </c>
      <c r="P237"/>
      <c r="Q237"/>
      <c r="R237"/>
    </row>
    <row r="238" spans="3:18">
      <c r="C238" s="64" t="s">
        <v>1976</v>
      </c>
      <c r="D238" s="64" t="s">
        <v>219</v>
      </c>
      <c r="E238" s="18" t="s">
        <v>1885</v>
      </c>
      <c r="F238" s="96" t="s">
        <v>208</v>
      </c>
      <c r="G238" s="64" t="s">
        <v>2277</v>
      </c>
      <c r="H238" s="18">
        <v>109</v>
      </c>
      <c r="I238" s="15">
        <v>22.18</v>
      </c>
      <c r="J238" s="15">
        <v>22.18</v>
      </c>
      <c r="K238" s="15">
        <v>9</v>
      </c>
      <c r="L238" s="15" t="s">
        <v>911</v>
      </c>
      <c r="M238" s="15" t="s">
        <v>277</v>
      </c>
      <c r="N238" s="15" t="s">
        <v>2271</v>
      </c>
      <c r="O238" s="15" t="s">
        <v>911</v>
      </c>
    </row>
    <row r="239" spans="3:18">
      <c r="C239" s="64" t="s">
        <v>1976</v>
      </c>
      <c r="D239" s="64" t="s">
        <v>219</v>
      </c>
      <c r="E239" s="18" t="s">
        <v>1885</v>
      </c>
      <c r="F239" s="96" t="s">
        <v>355</v>
      </c>
      <c r="G239" s="64" t="s">
        <v>2278</v>
      </c>
      <c r="H239" s="18">
        <v>108</v>
      </c>
      <c r="I239" s="15">
        <v>21.87</v>
      </c>
      <c r="J239" s="15">
        <v>21.87</v>
      </c>
      <c r="K239" s="15">
        <v>8</v>
      </c>
      <c r="L239" s="15" t="s">
        <v>911</v>
      </c>
      <c r="M239" s="15" t="s">
        <v>277</v>
      </c>
      <c r="N239" s="15" t="s">
        <v>2271</v>
      </c>
      <c r="O239" s="15" t="s">
        <v>911</v>
      </c>
    </row>
    <row r="240" spans="3:18">
      <c r="C240" s="64" t="s">
        <v>1976</v>
      </c>
      <c r="D240" s="64" t="s">
        <v>219</v>
      </c>
      <c r="E240" s="18" t="s">
        <v>1885</v>
      </c>
      <c r="F240" s="96" t="s">
        <v>355</v>
      </c>
      <c r="G240" s="64" t="s">
        <v>2279</v>
      </c>
      <c r="H240" s="18">
        <v>107</v>
      </c>
      <c r="I240" s="15">
        <v>18.670000000000002</v>
      </c>
      <c r="J240" s="15">
        <v>18.670000000000002</v>
      </c>
      <c r="K240" s="15">
        <v>4</v>
      </c>
      <c r="L240" s="15" t="s">
        <v>911</v>
      </c>
      <c r="M240" s="15" t="s">
        <v>277</v>
      </c>
      <c r="N240" s="15" t="s">
        <v>2271</v>
      </c>
      <c r="O240" s="15" t="s">
        <v>911</v>
      </c>
    </row>
    <row r="241" spans="3:15">
      <c r="C241" s="64" t="s">
        <v>1976</v>
      </c>
      <c r="D241" s="64" t="s">
        <v>219</v>
      </c>
      <c r="E241" s="18" t="s">
        <v>1885</v>
      </c>
      <c r="F241" s="96" t="s">
        <v>249</v>
      </c>
      <c r="G241" s="64" t="s">
        <v>2280</v>
      </c>
      <c r="H241" s="18">
        <v>106</v>
      </c>
      <c r="I241" s="15">
        <v>18.97</v>
      </c>
      <c r="J241" s="15">
        <v>18.97</v>
      </c>
      <c r="K241" s="15">
        <v>7</v>
      </c>
      <c r="L241" s="15" t="s">
        <v>911</v>
      </c>
      <c r="M241" s="15" t="s">
        <v>277</v>
      </c>
      <c r="N241" s="15" t="s">
        <v>2271</v>
      </c>
      <c r="O241" s="15" t="s">
        <v>911</v>
      </c>
    </row>
    <row r="242" spans="3:15">
      <c r="C242" s="64" t="s">
        <v>1976</v>
      </c>
      <c r="D242" s="64" t="s">
        <v>219</v>
      </c>
      <c r="E242" s="18" t="s">
        <v>1885</v>
      </c>
      <c r="F242" s="96" t="s">
        <v>249</v>
      </c>
      <c r="G242" s="64" t="s">
        <v>2281</v>
      </c>
      <c r="H242" s="18">
        <v>105</v>
      </c>
      <c r="I242" s="15">
        <v>19.97</v>
      </c>
      <c r="J242" s="15">
        <v>19.97</v>
      </c>
      <c r="K242" s="15">
        <v>3</v>
      </c>
      <c r="L242" s="15" t="s">
        <v>911</v>
      </c>
      <c r="M242" s="15" t="s">
        <v>277</v>
      </c>
      <c r="N242" s="15" t="s">
        <v>2271</v>
      </c>
      <c r="O242" s="15" t="s">
        <v>911</v>
      </c>
    </row>
    <row r="243" spans="3:15">
      <c r="C243" s="64" t="s">
        <v>1976</v>
      </c>
      <c r="D243" s="64" t="s">
        <v>219</v>
      </c>
      <c r="E243" s="18" t="s">
        <v>1885</v>
      </c>
      <c r="F243" s="96" t="s">
        <v>249</v>
      </c>
      <c r="G243" s="64" t="s">
        <v>216</v>
      </c>
      <c r="H243" s="18">
        <v>104</v>
      </c>
      <c r="I243" s="15">
        <v>20.2</v>
      </c>
      <c r="J243" s="15">
        <v>20.2</v>
      </c>
      <c r="K243" s="15">
        <v>10</v>
      </c>
      <c r="L243" s="15" t="s">
        <v>911</v>
      </c>
      <c r="M243" s="15" t="s">
        <v>277</v>
      </c>
      <c r="N243" s="15" t="s">
        <v>2271</v>
      </c>
      <c r="O243" s="15" t="s">
        <v>911</v>
      </c>
    </row>
    <row r="244" spans="3:15">
      <c r="C244" s="64" t="s">
        <v>1976</v>
      </c>
      <c r="D244" s="64" t="s">
        <v>219</v>
      </c>
      <c r="E244" s="18" t="s">
        <v>1885</v>
      </c>
      <c r="F244" s="96" t="s">
        <v>249</v>
      </c>
      <c r="G244" s="64" t="s">
        <v>215</v>
      </c>
      <c r="H244" s="18">
        <v>103</v>
      </c>
      <c r="I244" s="15">
        <v>16.22</v>
      </c>
      <c r="J244" s="15">
        <v>16.22</v>
      </c>
      <c r="K244" s="15">
        <v>3</v>
      </c>
      <c r="L244" s="15" t="s">
        <v>911</v>
      </c>
      <c r="M244" s="15" t="s">
        <v>277</v>
      </c>
      <c r="N244" s="15" t="s">
        <v>2271</v>
      </c>
      <c r="O244" s="15" t="s">
        <v>911</v>
      </c>
    </row>
    <row r="245" spans="3:15">
      <c r="C245" s="64" t="s">
        <v>1976</v>
      </c>
      <c r="D245" s="64" t="s">
        <v>219</v>
      </c>
      <c r="E245" s="18" t="s">
        <v>1885</v>
      </c>
      <c r="F245" s="96" t="s">
        <v>249</v>
      </c>
      <c r="G245" s="64" t="s">
        <v>2282</v>
      </c>
      <c r="H245" s="18">
        <v>102</v>
      </c>
      <c r="I245" s="15">
        <v>11.47</v>
      </c>
      <c r="J245" s="15">
        <v>11.47</v>
      </c>
      <c r="L245" s="15" t="s">
        <v>911</v>
      </c>
      <c r="M245" s="15" t="s">
        <v>277</v>
      </c>
      <c r="N245" s="15" t="s">
        <v>2271</v>
      </c>
      <c r="O245" s="15" t="s">
        <v>911</v>
      </c>
    </row>
    <row r="246" spans="3:15">
      <c r="C246" s="64" t="s">
        <v>1976</v>
      </c>
      <c r="D246" s="64" t="s">
        <v>219</v>
      </c>
      <c r="E246" s="18" t="s">
        <v>1885</v>
      </c>
      <c r="F246" s="96" t="s">
        <v>249</v>
      </c>
      <c r="G246" s="64" t="s">
        <v>1973</v>
      </c>
      <c r="H246" s="18">
        <v>101</v>
      </c>
      <c r="I246" s="15">
        <v>10.46</v>
      </c>
      <c r="J246" s="15">
        <v>10.46</v>
      </c>
      <c r="K246" s="15">
        <v>1</v>
      </c>
      <c r="L246" s="15" t="s">
        <v>911</v>
      </c>
      <c r="M246" s="15" t="s">
        <v>277</v>
      </c>
      <c r="N246" s="15" t="s">
        <v>2271</v>
      </c>
      <c r="O246" s="15" t="s">
        <v>911</v>
      </c>
    </row>
    <row r="247" spans="3:15">
      <c r="C247" s="64" t="s">
        <v>1976</v>
      </c>
      <c r="D247" s="64" t="s">
        <v>219</v>
      </c>
      <c r="E247" s="18" t="s">
        <v>1885</v>
      </c>
      <c r="F247" s="96" t="s">
        <v>192</v>
      </c>
      <c r="G247" s="64" t="s">
        <v>2283</v>
      </c>
      <c r="I247" s="15">
        <v>8.2799999999999994</v>
      </c>
      <c r="J247" s="15">
        <v>8.2799999999999994</v>
      </c>
      <c r="K247" s="15">
        <v>1</v>
      </c>
      <c r="L247" s="15" t="s">
        <v>572</v>
      </c>
      <c r="M247" s="15" t="s">
        <v>572</v>
      </c>
      <c r="N247" s="15" t="s">
        <v>2284</v>
      </c>
    </row>
    <row r="248" spans="3:15">
      <c r="C248" s="64" t="s">
        <v>1976</v>
      </c>
      <c r="D248" s="64" t="s">
        <v>219</v>
      </c>
      <c r="E248" s="18" t="s">
        <v>1885</v>
      </c>
      <c r="F248" s="96" t="s">
        <v>192</v>
      </c>
      <c r="G248" s="64" t="s">
        <v>2285</v>
      </c>
      <c r="I248" s="15">
        <v>8.2799999999999994</v>
      </c>
      <c r="J248" s="15">
        <v>8.2799999999999994</v>
      </c>
      <c r="K248" s="15">
        <v>1</v>
      </c>
      <c r="L248" s="15" t="s">
        <v>572</v>
      </c>
      <c r="M248" s="15" t="s">
        <v>572</v>
      </c>
      <c r="N248" s="15" t="s">
        <v>2284</v>
      </c>
    </row>
    <row r="249" spans="3:15">
      <c r="C249" s="64" t="s">
        <v>1976</v>
      </c>
      <c r="D249" s="64" t="s">
        <v>219</v>
      </c>
      <c r="E249" s="18" t="s">
        <v>1885</v>
      </c>
      <c r="F249" s="96" t="s">
        <v>192</v>
      </c>
      <c r="G249" s="64" t="s">
        <v>2286</v>
      </c>
      <c r="I249" s="15">
        <v>8.49</v>
      </c>
      <c r="J249" s="15">
        <v>8.49</v>
      </c>
      <c r="K249" s="15">
        <v>2</v>
      </c>
      <c r="L249" s="15" t="s">
        <v>572</v>
      </c>
      <c r="M249" s="15" t="s">
        <v>572</v>
      </c>
      <c r="N249" s="15" t="s">
        <v>2284</v>
      </c>
    </row>
    <row r="250" spans="3:15">
      <c r="C250" s="64" t="s">
        <v>1976</v>
      </c>
      <c r="D250" s="64" t="s">
        <v>219</v>
      </c>
      <c r="E250" s="18" t="s">
        <v>1885</v>
      </c>
      <c r="F250" s="96" t="s">
        <v>192</v>
      </c>
      <c r="G250" s="64" t="s">
        <v>2287</v>
      </c>
      <c r="I250" s="15">
        <v>10.9</v>
      </c>
      <c r="J250" s="15">
        <v>10.9</v>
      </c>
      <c r="K250" s="15">
        <v>2</v>
      </c>
      <c r="L250" s="15" t="s">
        <v>572</v>
      </c>
      <c r="M250" s="15" t="s">
        <v>572</v>
      </c>
      <c r="N250" s="15" t="s">
        <v>2284</v>
      </c>
    </row>
    <row r="251" spans="3:15">
      <c r="C251" s="64" t="s">
        <v>1976</v>
      </c>
      <c r="D251" s="64" t="s">
        <v>219</v>
      </c>
      <c r="E251" s="18" t="s">
        <v>1885</v>
      </c>
      <c r="F251" s="96" t="s">
        <v>192</v>
      </c>
      <c r="G251" s="64" t="s">
        <v>2285</v>
      </c>
      <c r="I251" s="15">
        <v>3.81</v>
      </c>
      <c r="J251" s="15">
        <v>3.81</v>
      </c>
      <c r="K251" s="15">
        <v>1</v>
      </c>
      <c r="L251" s="15" t="s">
        <v>572</v>
      </c>
      <c r="M251" s="15" t="s">
        <v>572</v>
      </c>
      <c r="N251" s="15" t="s">
        <v>2284</v>
      </c>
    </row>
    <row r="252" spans="3:15">
      <c r="C252" s="64" t="s">
        <v>1976</v>
      </c>
      <c r="D252" s="64" t="s">
        <v>219</v>
      </c>
      <c r="E252" s="18" t="s">
        <v>1885</v>
      </c>
      <c r="F252" s="96" t="s">
        <v>192</v>
      </c>
      <c r="G252" s="64" t="s">
        <v>2283</v>
      </c>
      <c r="I252" s="15">
        <v>3.81</v>
      </c>
      <c r="J252" s="15">
        <v>3.81</v>
      </c>
      <c r="K252" s="15">
        <v>1</v>
      </c>
      <c r="L252" s="15" t="s">
        <v>572</v>
      </c>
      <c r="M252" s="15" t="s">
        <v>572</v>
      </c>
      <c r="N252" s="15" t="s">
        <v>2284</v>
      </c>
    </row>
    <row r="253" spans="3:15">
      <c r="C253" s="64" t="s">
        <v>1976</v>
      </c>
      <c r="D253" s="64" t="s">
        <v>219</v>
      </c>
      <c r="E253" s="18" t="s">
        <v>1885</v>
      </c>
      <c r="F253" s="96" t="s">
        <v>27</v>
      </c>
      <c r="G253" s="64" t="s">
        <v>27</v>
      </c>
      <c r="I253" s="15">
        <v>6.38</v>
      </c>
      <c r="J253" s="15">
        <v>6.38</v>
      </c>
      <c r="L253" s="15" t="s">
        <v>572</v>
      </c>
      <c r="M253" s="15" t="s">
        <v>572</v>
      </c>
      <c r="N253" s="15" t="s">
        <v>2284</v>
      </c>
    </row>
    <row r="254" spans="3:15">
      <c r="C254" s="64" t="s">
        <v>1976</v>
      </c>
      <c r="D254" s="64" t="s">
        <v>219</v>
      </c>
      <c r="E254" s="18" t="s">
        <v>1885</v>
      </c>
      <c r="F254" s="96" t="s">
        <v>194</v>
      </c>
      <c r="G254" s="64" t="s">
        <v>2288</v>
      </c>
      <c r="H254" s="18" t="s">
        <v>2289</v>
      </c>
      <c r="I254" s="15">
        <v>9</v>
      </c>
      <c r="J254" s="15">
        <v>9</v>
      </c>
      <c r="L254" s="15" t="s">
        <v>911</v>
      </c>
      <c r="M254" s="15" t="s">
        <v>277</v>
      </c>
      <c r="N254" s="15" t="s">
        <v>2271</v>
      </c>
      <c r="O254" s="15" t="s">
        <v>911</v>
      </c>
    </row>
    <row r="255" spans="3:15">
      <c r="C255" s="64" t="s">
        <v>1976</v>
      </c>
      <c r="D255" s="64" t="s">
        <v>219</v>
      </c>
      <c r="E255" s="18" t="s">
        <v>1885</v>
      </c>
      <c r="F255" s="96" t="s">
        <v>194</v>
      </c>
      <c r="G255" s="64" t="s">
        <v>2290</v>
      </c>
      <c r="H255" s="18" t="s">
        <v>2289</v>
      </c>
      <c r="I255" s="15">
        <v>32.58</v>
      </c>
      <c r="J255" s="15">
        <v>32.58</v>
      </c>
      <c r="L255" s="15" t="s">
        <v>911</v>
      </c>
      <c r="M255" s="15" t="s">
        <v>277</v>
      </c>
      <c r="N255" s="15" t="s">
        <v>2271</v>
      </c>
      <c r="O255" s="15" t="s">
        <v>911</v>
      </c>
    </row>
    <row r="256" spans="3:15">
      <c r="C256" s="64" t="s">
        <v>1976</v>
      </c>
      <c r="D256" s="64" t="s">
        <v>219</v>
      </c>
      <c r="E256" s="18" t="s">
        <v>1885</v>
      </c>
      <c r="F256" s="96" t="s">
        <v>194</v>
      </c>
      <c r="G256" s="64" t="s">
        <v>2291</v>
      </c>
      <c r="H256" s="18" t="s">
        <v>2292</v>
      </c>
      <c r="I256" s="15">
        <v>23</v>
      </c>
      <c r="J256" s="15">
        <v>23</v>
      </c>
      <c r="L256" s="15" t="s">
        <v>911</v>
      </c>
      <c r="M256" s="15" t="s">
        <v>277</v>
      </c>
      <c r="N256" s="15" t="s">
        <v>2271</v>
      </c>
      <c r="O256" s="15" t="s">
        <v>911</v>
      </c>
    </row>
    <row r="257" spans="3:15">
      <c r="C257" s="64" t="s">
        <v>1976</v>
      </c>
      <c r="D257" s="64" t="s">
        <v>219</v>
      </c>
      <c r="E257" s="18" t="s">
        <v>1885</v>
      </c>
      <c r="F257" s="96" t="s">
        <v>194</v>
      </c>
      <c r="G257" s="64" t="s">
        <v>2293</v>
      </c>
      <c r="H257" s="18" t="s">
        <v>2294</v>
      </c>
      <c r="I257" s="15">
        <v>48.65</v>
      </c>
      <c r="J257" s="15">
        <v>48.65</v>
      </c>
      <c r="L257" s="15" t="s">
        <v>911</v>
      </c>
      <c r="M257" s="15" t="s">
        <v>2295</v>
      </c>
      <c r="N257" s="15" t="s">
        <v>2271</v>
      </c>
    </row>
    <row r="258" spans="3:15">
      <c r="C258" s="64" t="s">
        <v>1976</v>
      </c>
      <c r="D258" s="64" t="s">
        <v>219</v>
      </c>
      <c r="E258" s="18" t="s">
        <v>1885</v>
      </c>
      <c r="F258" s="96" t="s">
        <v>194</v>
      </c>
      <c r="G258" s="64" t="s">
        <v>1977</v>
      </c>
      <c r="H258" s="18" t="s">
        <v>2296</v>
      </c>
      <c r="I258" s="15">
        <v>27.05</v>
      </c>
      <c r="J258" s="15">
        <v>27.05</v>
      </c>
      <c r="L258" s="15" t="s">
        <v>911</v>
      </c>
      <c r="M258" s="15" t="s">
        <v>2295</v>
      </c>
      <c r="N258" s="15" t="s">
        <v>2271</v>
      </c>
    </row>
    <row r="259" spans="3:15">
      <c r="C259" s="64" t="s">
        <v>1976</v>
      </c>
      <c r="D259" s="64" t="s">
        <v>219</v>
      </c>
      <c r="E259" s="18" t="s">
        <v>1885</v>
      </c>
      <c r="F259" s="96" t="s">
        <v>194</v>
      </c>
      <c r="G259" s="64" t="s">
        <v>1982</v>
      </c>
      <c r="H259" s="18" t="s">
        <v>2297</v>
      </c>
      <c r="I259" s="15">
        <v>22.97</v>
      </c>
      <c r="J259" s="15">
        <v>22.97</v>
      </c>
      <c r="L259" s="15" t="s">
        <v>911</v>
      </c>
      <c r="M259" s="15" t="s">
        <v>2295</v>
      </c>
      <c r="N259" s="15" t="s">
        <v>2271</v>
      </c>
    </row>
    <row r="260" spans="3:15">
      <c r="C260" s="64" t="s">
        <v>1976</v>
      </c>
      <c r="D260" s="64" t="s">
        <v>219</v>
      </c>
      <c r="E260" s="18" t="s">
        <v>1885</v>
      </c>
      <c r="F260" s="96" t="s">
        <v>194</v>
      </c>
      <c r="G260" s="64" t="s">
        <v>1983</v>
      </c>
      <c r="H260" s="18" t="s">
        <v>2298</v>
      </c>
      <c r="I260" s="15">
        <v>92.05</v>
      </c>
      <c r="J260" s="15">
        <v>92.05</v>
      </c>
      <c r="L260" s="15" t="s">
        <v>911</v>
      </c>
      <c r="M260" s="15" t="s">
        <v>2295</v>
      </c>
      <c r="N260" s="15" t="s">
        <v>2271</v>
      </c>
    </row>
    <row r="261" spans="3:15">
      <c r="C261" s="64" t="s">
        <v>1976</v>
      </c>
      <c r="D261" s="64" t="s">
        <v>219</v>
      </c>
      <c r="E261" s="18" t="s">
        <v>1885</v>
      </c>
      <c r="F261" s="96" t="s">
        <v>194</v>
      </c>
      <c r="G261" s="64" t="s">
        <v>1980</v>
      </c>
      <c r="H261" s="18" t="s">
        <v>2299</v>
      </c>
      <c r="I261" s="15">
        <v>41.88</v>
      </c>
      <c r="J261" s="15">
        <v>41.88</v>
      </c>
      <c r="L261" s="15" t="s">
        <v>911</v>
      </c>
      <c r="M261" s="15" t="s">
        <v>2295</v>
      </c>
      <c r="N261" s="15" t="s">
        <v>2271</v>
      </c>
    </row>
    <row r="262" spans="3:15">
      <c r="C262" s="64" t="s">
        <v>1976</v>
      </c>
      <c r="D262" s="64" t="s">
        <v>219</v>
      </c>
      <c r="E262" s="18" t="s">
        <v>1885</v>
      </c>
      <c r="F262" s="96" t="s">
        <v>175</v>
      </c>
      <c r="G262" s="64" t="s">
        <v>2300</v>
      </c>
      <c r="H262" s="18">
        <v>307</v>
      </c>
      <c r="I262" s="15">
        <v>14.07</v>
      </c>
      <c r="J262" s="15">
        <v>14.07</v>
      </c>
      <c r="K262" s="15">
        <v>2</v>
      </c>
      <c r="L262" s="15" t="s">
        <v>911</v>
      </c>
      <c r="M262" s="15" t="s">
        <v>277</v>
      </c>
      <c r="N262" s="15" t="s">
        <v>2271</v>
      </c>
      <c r="O262" s="15" t="s">
        <v>911</v>
      </c>
    </row>
    <row r="263" spans="3:15">
      <c r="C263" s="64" t="s">
        <v>1976</v>
      </c>
      <c r="D263" s="64" t="s">
        <v>219</v>
      </c>
      <c r="E263" s="18" t="s">
        <v>1885</v>
      </c>
      <c r="F263" s="96" t="s">
        <v>175</v>
      </c>
      <c r="G263" s="64" t="s">
        <v>2301</v>
      </c>
      <c r="H263" s="18">
        <v>306</v>
      </c>
      <c r="I263" s="15">
        <v>13.09</v>
      </c>
      <c r="J263" s="15">
        <v>13.09</v>
      </c>
      <c r="L263" s="15" t="s">
        <v>911</v>
      </c>
      <c r="M263" s="15" t="s">
        <v>277</v>
      </c>
      <c r="N263" s="15" t="s">
        <v>2271</v>
      </c>
      <c r="O263" s="15" t="s">
        <v>911</v>
      </c>
    </row>
    <row r="264" spans="3:15">
      <c r="C264" s="64" t="s">
        <v>1976</v>
      </c>
      <c r="D264" s="64" t="s">
        <v>219</v>
      </c>
      <c r="E264" s="18" t="s">
        <v>1885</v>
      </c>
      <c r="F264" s="96" t="s">
        <v>175</v>
      </c>
      <c r="G264" s="64" t="s">
        <v>2302</v>
      </c>
      <c r="H264" s="18">
        <v>305</v>
      </c>
      <c r="I264" s="15">
        <v>13.09</v>
      </c>
      <c r="J264" s="15">
        <v>13.09</v>
      </c>
      <c r="L264" s="15" t="s">
        <v>911</v>
      </c>
      <c r="M264" s="15" t="s">
        <v>277</v>
      </c>
      <c r="N264" s="15" t="s">
        <v>2271</v>
      </c>
      <c r="O264" s="15" t="s">
        <v>911</v>
      </c>
    </row>
    <row r="265" spans="3:15">
      <c r="C265" s="64" t="s">
        <v>1976</v>
      </c>
      <c r="D265" s="64" t="s">
        <v>219</v>
      </c>
      <c r="E265" s="18" t="s">
        <v>1885</v>
      </c>
      <c r="F265" s="96" t="s">
        <v>593</v>
      </c>
      <c r="G265" s="64" t="s">
        <v>2303</v>
      </c>
      <c r="H265" s="18">
        <v>304</v>
      </c>
      <c r="I265" s="15">
        <v>56.13</v>
      </c>
      <c r="J265" s="15">
        <v>56.13</v>
      </c>
      <c r="K265" s="15">
        <v>27</v>
      </c>
      <c r="L265" s="15" t="s">
        <v>911</v>
      </c>
      <c r="M265" s="15" t="s">
        <v>2304</v>
      </c>
      <c r="N265" s="15" t="s">
        <v>2271</v>
      </c>
    </row>
    <row r="266" spans="3:15">
      <c r="C266" s="64" t="s">
        <v>1976</v>
      </c>
      <c r="D266" s="64" t="s">
        <v>219</v>
      </c>
      <c r="E266" s="18" t="s">
        <v>1885</v>
      </c>
      <c r="F266" s="96" t="s">
        <v>593</v>
      </c>
      <c r="G266" s="64" t="s">
        <v>2305</v>
      </c>
      <c r="H266" s="18">
        <v>303</v>
      </c>
      <c r="I266" s="15">
        <v>54.59</v>
      </c>
      <c r="J266" s="15">
        <v>54.59</v>
      </c>
      <c r="K266" s="15">
        <v>24</v>
      </c>
      <c r="L266" s="15" t="s">
        <v>911</v>
      </c>
      <c r="M266" s="15" t="s">
        <v>2304</v>
      </c>
      <c r="N266" s="15" t="s">
        <v>2271</v>
      </c>
    </row>
    <row r="267" spans="3:15">
      <c r="C267" s="64" t="s">
        <v>1976</v>
      </c>
      <c r="D267" s="64" t="s">
        <v>219</v>
      </c>
      <c r="E267" s="18" t="s">
        <v>1885</v>
      </c>
      <c r="F267" s="96" t="s">
        <v>593</v>
      </c>
      <c r="G267" s="64" t="s">
        <v>2306</v>
      </c>
      <c r="H267" s="18" t="s">
        <v>2307</v>
      </c>
      <c r="I267" s="15">
        <v>4.6900000000000004</v>
      </c>
      <c r="J267" s="15">
        <v>4.6900000000000004</v>
      </c>
      <c r="K267" s="15">
        <v>1</v>
      </c>
      <c r="L267" s="15" t="s">
        <v>911</v>
      </c>
      <c r="M267" s="15" t="s">
        <v>277</v>
      </c>
      <c r="N267" s="15" t="s">
        <v>2271</v>
      </c>
      <c r="O267" s="15" t="s">
        <v>911</v>
      </c>
    </row>
    <row r="268" spans="3:15">
      <c r="C268" s="64" t="s">
        <v>1976</v>
      </c>
      <c r="D268" s="64" t="s">
        <v>219</v>
      </c>
      <c r="E268" s="18" t="s">
        <v>1885</v>
      </c>
      <c r="F268" s="96" t="s">
        <v>593</v>
      </c>
      <c r="G268" s="64" t="s">
        <v>2308</v>
      </c>
      <c r="H268" s="18" t="s">
        <v>2309</v>
      </c>
      <c r="I268" s="15">
        <v>3.47</v>
      </c>
      <c r="J268" s="15">
        <v>3.47</v>
      </c>
      <c r="K268" s="15">
        <v>1</v>
      </c>
      <c r="L268" s="15" t="s">
        <v>911</v>
      </c>
      <c r="M268" s="15" t="s">
        <v>277</v>
      </c>
      <c r="N268" s="15" t="s">
        <v>2271</v>
      </c>
      <c r="O268" s="15" t="s">
        <v>911</v>
      </c>
    </row>
    <row r="269" spans="3:15">
      <c r="C269" s="64" t="s">
        <v>1976</v>
      </c>
      <c r="D269" s="64" t="s">
        <v>219</v>
      </c>
      <c r="E269" s="18" t="s">
        <v>1885</v>
      </c>
      <c r="F269" s="96" t="s">
        <v>593</v>
      </c>
      <c r="G269" s="64" t="s">
        <v>2310</v>
      </c>
      <c r="H269" s="18">
        <v>302</v>
      </c>
      <c r="I269" s="15">
        <v>54.73</v>
      </c>
      <c r="J269" s="15">
        <v>54.73</v>
      </c>
      <c r="K269" s="15">
        <v>25</v>
      </c>
      <c r="L269" s="15" t="s">
        <v>911</v>
      </c>
      <c r="M269" s="15" t="s">
        <v>2304</v>
      </c>
      <c r="N269" s="15" t="s">
        <v>2271</v>
      </c>
    </row>
    <row r="270" spans="3:15">
      <c r="C270" s="64" t="s">
        <v>1976</v>
      </c>
      <c r="D270" s="64" t="s">
        <v>219</v>
      </c>
      <c r="E270" s="18" t="s">
        <v>1885</v>
      </c>
      <c r="F270" s="96" t="s">
        <v>593</v>
      </c>
      <c r="G270" s="64" t="s">
        <v>2306</v>
      </c>
      <c r="H270" s="18" t="s">
        <v>2311</v>
      </c>
      <c r="I270" s="15">
        <v>4.59</v>
      </c>
      <c r="J270" s="15">
        <v>4.59</v>
      </c>
      <c r="K270" s="15">
        <v>1</v>
      </c>
      <c r="L270" s="15" t="s">
        <v>911</v>
      </c>
      <c r="M270" s="15" t="s">
        <v>277</v>
      </c>
      <c r="N270" s="15" t="s">
        <v>2271</v>
      </c>
      <c r="O270" s="15" t="s">
        <v>911</v>
      </c>
    </row>
    <row r="271" spans="3:15">
      <c r="C271" s="64" t="s">
        <v>1976</v>
      </c>
      <c r="D271" s="64" t="s">
        <v>219</v>
      </c>
      <c r="E271" s="18" t="s">
        <v>1885</v>
      </c>
      <c r="F271" s="96" t="s">
        <v>593</v>
      </c>
      <c r="G271" s="64" t="s">
        <v>2312</v>
      </c>
      <c r="H271" s="18" t="s">
        <v>2313</v>
      </c>
      <c r="I271" s="15">
        <v>4</v>
      </c>
      <c r="J271" s="15">
        <v>4</v>
      </c>
      <c r="K271" s="15">
        <v>1</v>
      </c>
      <c r="L271" s="15" t="s">
        <v>911</v>
      </c>
      <c r="M271" s="15" t="s">
        <v>277</v>
      </c>
      <c r="N271" s="15" t="s">
        <v>2271</v>
      </c>
      <c r="O271" s="15" t="s">
        <v>911</v>
      </c>
    </row>
    <row r="272" spans="3:15">
      <c r="C272" s="64" t="s">
        <v>1976</v>
      </c>
      <c r="D272" s="64" t="s">
        <v>219</v>
      </c>
      <c r="E272" s="18" t="s">
        <v>1885</v>
      </c>
      <c r="F272" s="96" t="s">
        <v>593</v>
      </c>
      <c r="G272" s="64" t="s">
        <v>2314</v>
      </c>
      <c r="H272" s="18">
        <v>301</v>
      </c>
      <c r="I272" s="15">
        <v>53.37</v>
      </c>
      <c r="J272" s="15">
        <v>53.37</v>
      </c>
      <c r="K272" s="15">
        <v>26</v>
      </c>
      <c r="L272" s="15" t="s">
        <v>911</v>
      </c>
      <c r="M272" s="15" t="s">
        <v>2304</v>
      </c>
      <c r="N272" s="15" t="s">
        <v>2271</v>
      </c>
    </row>
    <row r="273" spans="3:15">
      <c r="C273" s="64" t="s">
        <v>1976</v>
      </c>
      <c r="D273" s="64" t="s">
        <v>219</v>
      </c>
      <c r="E273" s="18" t="s">
        <v>1885</v>
      </c>
      <c r="F273" s="96" t="s">
        <v>175</v>
      </c>
      <c r="G273" s="64" t="s">
        <v>1979</v>
      </c>
      <c r="H273" s="18">
        <v>201</v>
      </c>
      <c r="I273" s="15">
        <v>28.17</v>
      </c>
      <c r="J273" s="15">
        <v>28.17</v>
      </c>
      <c r="K273" s="15">
        <v>14</v>
      </c>
      <c r="L273" s="15" t="s">
        <v>911</v>
      </c>
      <c r="M273" s="15" t="s">
        <v>277</v>
      </c>
      <c r="N273" s="15" t="s">
        <v>2271</v>
      </c>
      <c r="O273" s="15" t="s">
        <v>911</v>
      </c>
    </row>
    <row r="274" spans="3:15">
      <c r="C274" s="64" t="s">
        <v>1976</v>
      </c>
      <c r="D274" s="64" t="s">
        <v>219</v>
      </c>
      <c r="E274" s="18" t="s">
        <v>1885</v>
      </c>
      <c r="F274" s="96" t="s">
        <v>175</v>
      </c>
      <c r="G274" s="64" t="s">
        <v>2315</v>
      </c>
      <c r="H274" s="18">
        <v>202</v>
      </c>
      <c r="I274" s="15">
        <v>17.5</v>
      </c>
      <c r="J274" s="15">
        <v>17.5</v>
      </c>
      <c r="K274" s="15">
        <v>4</v>
      </c>
      <c r="L274" s="15" t="s">
        <v>911</v>
      </c>
      <c r="M274" s="15" t="s">
        <v>277</v>
      </c>
      <c r="N274" s="15" t="s">
        <v>2271</v>
      </c>
      <c r="O274" s="15" t="s">
        <v>911</v>
      </c>
    </row>
    <row r="275" spans="3:15">
      <c r="C275" s="64" t="s">
        <v>1976</v>
      </c>
      <c r="D275" s="64" t="s">
        <v>219</v>
      </c>
      <c r="E275" s="18" t="s">
        <v>1885</v>
      </c>
      <c r="F275" s="96" t="s">
        <v>175</v>
      </c>
      <c r="G275" s="64" t="s">
        <v>2316</v>
      </c>
      <c r="H275" s="18">
        <v>203</v>
      </c>
      <c r="I275" s="15">
        <v>5.0599999999999996</v>
      </c>
      <c r="J275" s="15">
        <v>5.0599999999999996</v>
      </c>
      <c r="K275" s="15">
        <v>1</v>
      </c>
      <c r="L275" s="15" t="s">
        <v>911</v>
      </c>
      <c r="M275" s="15" t="s">
        <v>277</v>
      </c>
      <c r="N275" s="15" t="s">
        <v>2271</v>
      </c>
      <c r="O275" s="15" t="s">
        <v>911</v>
      </c>
    </row>
    <row r="276" spans="3:15">
      <c r="C276" s="64" t="s">
        <v>1976</v>
      </c>
      <c r="D276" s="64" t="s">
        <v>219</v>
      </c>
      <c r="E276" s="18" t="s">
        <v>1885</v>
      </c>
      <c r="F276" s="96" t="s">
        <v>175</v>
      </c>
      <c r="G276" s="64" t="s">
        <v>2317</v>
      </c>
      <c r="H276" s="18">
        <v>204</v>
      </c>
      <c r="I276" s="15">
        <v>22.24</v>
      </c>
      <c r="J276" s="15">
        <v>22.24</v>
      </c>
      <c r="K276" s="15">
        <v>1</v>
      </c>
      <c r="L276" s="15" t="s">
        <v>911</v>
      </c>
      <c r="M276" s="15" t="s">
        <v>277</v>
      </c>
      <c r="N276" s="15" t="s">
        <v>2271</v>
      </c>
      <c r="O276" s="15" t="s">
        <v>911</v>
      </c>
    </row>
    <row r="277" spans="3:15">
      <c r="C277" s="64" t="s">
        <v>1976</v>
      </c>
      <c r="D277" s="64" t="s">
        <v>219</v>
      </c>
      <c r="E277" s="18" t="s">
        <v>1885</v>
      </c>
      <c r="F277" s="96" t="s">
        <v>249</v>
      </c>
      <c r="G277" s="64" t="s">
        <v>2318</v>
      </c>
      <c r="H277" s="18">
        <v>205</v>
      </c>
      <c r="I277" s="15">
        <v>11.93</v>
      </c>
      <c r="J277" s="15">
        <v>11.93</v>
      </c>
      <c r="L277" s="15" t="s">
        <v>911</v>
      </c>
      <c r="M277" s="15" t="s">
        <v>277</v>
      </c>
      <c r="N277" s="15" t="s">
        <v>2271</v>
      </c>
      <c r="O277" s="15" t="s">
        <v>911</v>
      </c>
    </row>
    <row r="278" spans="3:15">
      <c r="C278" s="64" t="s">
        <v>1976</v>
      </c>
      <c r="D278" s="64" t="s">
        <v>219</v>
      </c>
      <c r="E278" s="18" t="s">
        <v>1885</v>
      </c>
      <c r="F278" s="96" t="s">
        <v>249</v>
      </c>
      <c r="G278" s="64" t="s">
        <v>2319</v>
      </c>
      <c r="H278" s="18" t="s">
        <v>2320</v>
      </c>
      <c r="I278" s="15">
        <v>3.14</v>
      </c>
      <c r="J278" s="15">
        <v>3.14</v>
      </c>
      <c r="L278" s="15" t="s">
        <v>911</v>
      </c>
      <c r="M278" s="15" t="s">
        <v>277</v>
      </c>
      <c r="N278" s="15" t="s">
        <v>2271</v>
      </c>
      <c r="O278" s="15" t="s">
        <v>911</v>
      </c>
    </row>
    <row r="279" spans="3:15">
      <c r="C279" s="64" t="s">
        <v>1976</v>
      </c>
      <c r="D279" s="64" t="s">
        <v>219</v>
      </c>
      <c r="E279" s="18" t="s">
        <v>1885</v>
      </c>
      <c r="F279" s="96" t="s">
        <v>249</v>
      </c>
      <c r="G279" s="64" t="s">
        <v>211</v>
      </c>
      <c r="H279" s="18">
        <v>206</v>
      </c>
      <c r="I279" s="15">
        <v>12.44</v>
      </c>
      <c r="J279" s="15">
        <v>12.44</v>
      </c>
      <c r="L279" s="15" t="s">
        <v>911</v>
      </c>
      <c r="M279" s="15" t="s">
        <v>277</v>
      </c>
      <c r="N279" s="15" t="s">
        <v>2271</v>
      </c>
      <c r="O279" s="15" t="s">
        <v>911</v>
      </c>
    </row>
    <row r="280" spans="3:15">
      <c r="C280" s="64" t="s">
        <v>1976</v>
      </c>
      <c r="D280" s="64" t="s">
        <v>219</v>
      </c>
      <c r="E280" s="18" t="s">
        <v>1885</v>
      </c>
      <c r="F280" s="96" t="s">
        <v>175</v>
      </c>
      <c r="G280" s="64" t="s">
        <v>2321</v>
      </c>
      <c r="H280" s="18">
        <v>207</v>
      </c>
      <c r="I280" s="15">
        <v>13.82</v>
      </c>
      <c r="J280" s="15">
        <v>13.82</v>
      </c>
      <c r="L280" s="15" t="s">
        <v>911</v>
      </c>
      <c r="M280" s="15" t="s">
        <v>277</v>
      </c>
      <c r="N280" s="15" t="s">
        <v>2271</v>
      </c>
      <c r="O280" s="15" t="s">
        <v>911</v>
      </c>
    </row>
    <row r="281" spans="3:15">
      <c r="C281" s="64" t="s">
        <v>1976</v>
      </c>
      <c r="D281" s="64" t="s">
        <v>219</v>
      </c>
      <c r="E281" s="18" t="s">
        <v>1885</v>
      </c>
      <c r="F281" s="96" t="s">
        <v>175</v>
      </c>
      <c r="G281" s="64" t="s">
        <v>2322</v>
      </c>
      <c r="H281" s="18">
        <v>208</v>
      </c>
      <c r="I281" s="15">
        <v>15.03</v>
      </c>
      <c r="J281" s="15">
        <v>15.03</v>
      </c>
      <c r="L281" s="15" t="s">
        <v>911</v>
      </c>
      <c r="M281" s="15" t="s">
        <v>277</v>
      </c>
      <c r="N281" s="15" t="s">
        <v>2271</v>
      </c>
      <c r="O281" s="15" t="s">
        <v>911</v>
      </c>
    </row>
    <row r="282" spans="3:15">
      <c r="C282" s="64" t="s">
        <v>1976</v>
      </c>
      <c r="D282" s="64" t="s">
        <v>219</v>
      </c>
      <c r="E282" s="18" t="s">
        <v>1885</v>
      </c>
      <c r="F282" s="96" t="s">
        <v>175</v>
      </c>
      <c r="G282" s="64" t="s">
        <v>2323</v>
      </c>
      <c r="H282" s="18">
        <v>209</v>
      </c>
      <c r="I282" s="15">
        <v>28.19</v>
      </c>
      <c r="J282" s="15">
        <v>28.19</v>
      </c>
      <c r="K282" s="15">
        <v>16</v>
      </c>
      <c r="L282" s="15" t="s">
        <v>911</v>
      </c>
      <c r="M282" s="15" t="s">
        <v>277</v>
      </c>
      <c r="N282" s="15" t="s">
        <v>2271</v>
      </c>
      <c r="O282" s="15" t="s">
        <v>911</v>
      </c>
    </row>
    <row r="283" spans="3:15">
      <c r="C283" s="64" t="s">
        <v>1976</v>
      </c>
      <c r="D283" s="64" t="s">
        <v>219</v>
      </c>
      <c r="E283" s="18" t="s">
        <v>1885</v>
      </c>
      <c r="F283" s="96" t="s">
        <v>27</v>
      </c>
      <c r="G283" s="64" t="s">
        <v>27</v>
      </c>
      <c r="I283" s="15">
        <v>7.45</v>
      </c>
      <c r="J283" s="15">
        <v>7.45</v>
      </c>
      <c r="L283" s="15" t="s">
        <v>572</v>
      </c>
      <c r="M283" s="15" t="s">
        <v>572</v>
      </c>
      <c r="N283" s="15" t="s">
        <v>2284</v>
      </c>
    </row>
    <row r="284" spans="3:15">
      <c r="C284" s="64" t="s">
        <v>1976</v>
      </c>
      <c r="D284" s="64" t="s">
        <v>219</v>
      </c>
      <c r="E284" s="18" t="s">
        <v>1885</v>
      </c>
      <c r="F284" s="96" t="s">
        <v>175</v>
      </c>
      <c r="G284" s="64" t="s">
        <v>2324</v>
      </c>
      <c r="H284" s="18">
        <v>210</v>
      </c>
      <c r="I284" s="15">
        <v>17.55</v>
      </c>
      <c r="J284" s="15">
        <v>17.55</v>
      </c>
      <c r="K284" s="15">
        <v>4</v>
      </c>
      <c r="L284" s="15" t="s">
        <v>911</v>
      </c>
      <c r="M284" s="15" t="s">
        <v>277</v>
      </c>
      <c r="N284" s="15" t="s">
        <v>2271</v>
      </c>
      <c r="O284" s="15" t="s">
        <v>911</v>
      </c>
    </row>
    <row r="285" spans="3:15">
      <c r="C285" s="64" t="s">
        <v>1976</v>
      </c>
      <c r="D285" s="64" t="s">
        <v>219</v>
      </c>
      <c r="E285" s="18" t="s">
        <v>1885</v>
      </c>
      <c r="F285" s="96" t="s">
        <v>175</v>
      </c>
      <c r="G285" s="64" t="s">
        <v>1978</v>
      </c>
      <c r="H285" s="18">
        <v>211</v>
      </c>
      <c r="I285" s="15">
        <v>28.14</v>
      </c>
      <c r="J285" s="15">
        <v>28.14</v>
      </c>
      <c r="K285" s="15">
        <v>14</v>
      </c>
      <c r="L285" s="15" t="s">
        <v>911</v>
      </c>
      <c r="M285" s="15" t="s">
        <v>277</v>
      </c>
      <c r="N285" s="15" t="s">
        <v>2271</v>
      </c>
      <c r="O285" s="15" t="s">
        <v>911</v>
      </c>
    </row>
    <row r="286" spans="3:15">
      <c r="C286" s="64" t="s">
        <v>1976</v>
      </c>
      <c r="D286" s="64" t="s">
        <v>219</v>
      </c>
      <c r="E286" s="18" t="s">
        <v>1885</v>
      </c>
      <c r="F286" s="96" t="s">
        <v>192</v>
      </c>
      <c r="G286" s="64" t="s">
        <v>2287</v>
      </c>
      <c r="I286" s="15">
        <v>14.31</v>
      </c>
      <c r="J286" s="15">
        <v>14.31</v>
      </c>
      <c r="K286" s="15">
        <v>3</v>
      </c>
      <c r="L286" s="15" t="s">
        <v>572</v>
      </c>
      <c r="M286" s="15" t="s">
        <v>572</v>
      </c>
      <c r="N286" s="15" t="s">
        <v>2284</v>
      </c>
    </row>
    <row r="287" spans="3:15">
      <c r="C287" s="64" t="s">
        <v>1976</v>
      </c>
      <c r="D287" s="64" t="s">
        <v>219</v>
      </c>
      <c r="E287" s="18" t="s">
        <v>1885</v>
      </c>
      <c r="F287" s="96" t="s">
        <v>192</v>
      </c>
      <c r="G287" s="64" t="s">
        <v>2286</v>
      </c>
      <c r="I287" s="15">
        <v>12.61</v>
      </c>
      <c r="J287" s="15">
        <v>12.61</v>
      </c>
      <c r="K287" s="15">
        <v>3</v>
      </c>
      <c r="L287" s="15" t="s">
        <v>572</v>
      </c>
      <c r="M287" s="15" t="s">
        <v>572</v>
      </c>
      <c r="N287" s="15" t="s">
        <v>2284</v>
      </c>
    </row>
    <row r="288" spans="3:15">
      <c r="C288" s="64" t="s">
        <v>1976</v>
      </c>
      <c r="D288" s="64" t="s">
        <v>219</v>
      </c>
      <c r="E288" s="18" t="s">
        <v>1885</v>
      </c>
      <c r="F288" s="96" t="s">
        <v>192</v>
      </c>
      <c r="G288" s="64" t="s">
        <v>2283</v>
      </c>
      <c r="I288" s="15">
        <v>6.36</v>
      </c>
      <c r="J288" s="15">
        <v>6.36</v>
      </c>
      <c r="K288" s="15">
        <v>1</v>
      </c>
      <c r="L288" s="15" t="s">
        <v>572</v>
      </c>
      <c r="M288" s="15" t="s">
        <v>572</v>
      </c>
      <c r="N288" s="15" t="s">
        <v>2284</v>
      </c>
    </row>
    <row r="289" spans="3:15">
      <c r="C289" s="64" t="s">
        <v>1976</v>
      </c>
      <c r="D289" s="64" t="s">
        <v>219</v>
      </c>
      <c r="E289" s="18" t="s">
        <v>1885</v>
      </c>
      <c r="F289" s="96" t="s">
        <v>192</v>
      </c>
      <c r="G289" s="64" t="s">
        <v>2285</v>
      </c>
      <c r="I289" s="15">
        <v>6.36</v>
      </c>
      <c r="J289" s="15">
        <v>6.36</v>
      </c>
      <c r="K289" s="15">
        <v>1</v>
      </c>
      <c r="L289" s="15" t="s">
        <v>572</v>
      </c>
      <c r="M289" s="15" t="s">
        <v>572</v>
      </c>
      <c r="N289" s="15" t="s">
        <v>2284</v>
      </c>
    </row>
    <row r="290" spans="3:15">
      <c r="C290" s="64" t="s">
        <v>1976</v>
      </c>
      <c r="D290" s="64" t="s">
        <v>219</v>
      </c>
      <c r="E290" s="18" t="s">
        <v>1885</v>
      </c>
      <c r="F290" s="96" t="s">
        <v>194</v>
      </c>
      <c r="G290" s="64" t="s">
        <v>1981</v>
      </c>
      <c r="H290" s="18" t="s">
        <v>2325</v>
      </c>
      <c r="I290" s="15">
        <v>15.3</v>
      </c>
      <c r="J290" s="15">
        <v>15.3</v>
      </c>
      <c r="L290" s="15" t="s">
        <v>911</v>
      </c>
      <c r="M290" s="15" t="s">
        <v>2295</v>
      </c>
      <c r="N290" s="15" t="s">
        <v>2271</v>
      </c>
    </row>
    <row r="291" spans="3:15">
      <c r="C291" s="64" t="s">
        <v>1976</v>
      </c>
      <c r="D291" s="64" t="s">
        <v>219</v>
      </c>
      <c r="E291" s="18" t="s">
        <v>1885</v>
      </c>
      <c r="F291" s="96" t="s">
        <v>194</v>
      </c>
      <c r="G291" s="64" t="s">
        <v>1984</v>
      </c>
      <c r="H291" s="18" t="s">
        <v>2326</v>
      </c>
      <c r="I291" s="15">
        <v>24.04</v>
      </c>
      <c r="J291" s="15">
        <v>24.04</v>
      </c>
      <c r="L291" s="15" t="s">
        <v>911</v>
      </c>
      <c r="M291" s="15" t="s">
        <v>2295</v>
      </c>
      <c r="N291" s="15" t="s">
        <v>2327</v>
      </c>
    </row>
    <row r="292" spans="3:15">
      <c r="C292" s="64" t="s">
        <v>1976</v>
      </c>
      <c r="D292" s="64" t="s">
        <v>219</v>
      </c>
      <c r="E292" s="18" t="s">
        <v>1885</v>
      </c>
      <c r="F292" s="96" t="s">
        <v>194</v>
      </c>
      <c r="G292" s="64" t="s">
        <v>2328</v>
      </c>
      <c r="H292" s="18" t="s">
        <v>979</v>
      </c>
      <c r="I292" s="15">
        <v>54.56</v>
      </c>
      <c r="J292" s="15">
        <v>54.56</v>
      </c>
      <c r="L292" s="15" t="s">
        <v>911</v>
      </c>
      <c r="M292" s="15" t="s">
        <v>277</v>
      </c>
      <c r="N292" s="15" t="s">
        <v>2327</v>
      </c>
      <c r="O292" s="15" t="s">
        <v>911</v>
      </c>
    </row>
    <row r="293" spans="3:15">
      <c r="C293" s="64" t="s">
        <v>1976</v>
      </c>
      <c r="D293" s="64" t="s">
        <v>219</v>
      </c>
      <c r="E293" s="18" t="s">
        <v>1885</v>
      </c>
      <c r="F293" s="96" t="s">
        <v>194</v>
      </c>
      <c r="G293" s="64" t="s">
        <v>1985</v>
      </c>
      <c r="H293" s="18" t="s">
        <v>980</v>
      </c>
      <c r="I293" s="15">
        <v>10.64</v>
      </c>
      <c r="J293" s="15">
        <v>10.64</v>
      </c>
      <c r="L293" s="15" t="s">
        <v>911</v>
      </c>
      <c r="M293" s="15" t="s">
        <v>277</v>
      </c>
      <c r="N293" s="15" t="s">
        <v>2327</v>
      </c>
      <c r="O293" s="15" t="s">
        <v>911</v>
      </c>
    </row>
    <row r="294" spans="3:15">
      <c r="C294" s="64" t="s">
        <v>1976</v>
      </c>
      <c r="D294" s="64" t="s">
        <v>219</v>
      </c>
      <c r="E294" s="18" t="s">
        <v>1885</v>
      </c>
      <c r="F294" s="96" t="s">
        <v>194</v>
      </c>
      <c r="G294" s="64" t="s">
        <v>1986</v>
      </c>
      <c r="H294" s="18" t="s">
        <v>981</v>
      </c>
      <c r="I294" s="15">
        <v>38.31</v>
      </c>
      <c r="J294" s="15">
        <v>38.31</v>
      </c>
      <c r="L294" s="15" t="s">
        <v>911</v>
      </c>
      <c r="M294" s="15" t="s">
        <v>2295</v>
      </c>
      <c r="N294" s="15" t="s">
        <v>2327</v>
      </c>
    </row>
    <row r="295" spans="3:15">
      <c r="C295" s="64" t="s">
        <v>1976</v>
      </c>
      <c r="D295" s="64" t="s">
        <v>219</v>
      </c>
      <c r="E295" s="18" t="s">
        <v>1885</v>
      </c>
      <c r="F295" s="96" t="s">
        <v>194</v>
      </c>
      <c r="G295" s="64" t="s">
        <v>221</v>
      </c>
      <c r="H295" s="18" t="s">
        <v>2289</v>
      </c>
      <c r="I295" s="15">
        <v>14.84</v>
      </c>
      <c r="J295" s="15">
        <v>14.84</v>
      </c>
      <c r="L295" s="15" t="s">
        <v>572</v>
      </c>
      <c r="M295" s="15" t="s">
        <v>572</v>
      </c>
      <c r="N295" s="15" t="s">
        <v>2271</v>
      </c>
    </row>
    <row r="296" spans="3:15">
      <c r="C296" s="64" t="s">
        <v>1976</v>
      </c>
      <c r="D296" s="64" t="s">
        <v>219</v>
      </c>
      <c r="E296" s="18" t="s">
        <v>1885</v>
      </c>
      <c r="F296" s="96" t="s">
        <v>192</v>
      </c>
      <c r="G296" s="64" t="s">
        <v>2329</v>
      </c>
      <c r="I296" s="15">
        <v>8.07</v>
      </c>
      <c r="J296" s="15">
        <v>8.07</v>
      </c>
      <c r="K296" s="15">
        <v>1</v>
      </c>
      <c r="L296" s="15" t="s">
        <v>572</v>
      </c>
      <c r="M296" s="15" t="s">
        <v>572</v>
      </c>
      <c r="N296" s="15" t="s">
        <v>2284</v>
      </c>
    </row>
    <row r="297" spans="3:15">
      <c r="C297" s="64" t="s">
        <v>1976</v>
      </c>
      <c r="D297" s="64" t="s">
        <v>219</v>
      </c>
      <c r="E297" s="18" t="s">
        <v>1885</v>
      </c>
      <c r="F297" s="96" t="s">
        <v>192</v>
      </c>
      <c r="G297" s="64" t="s">
        <v>2330</v>
      </c>
      <c r="I297" s="15">
        <v>31.04</v>
      </c>
      <c r="J297" s="15">
        <v>31.04</v>
      </c>
      <c r="K297" s="15">
        <v>4</v>
      </c>
      <c r="L297" s="15" t="s">
        <v>572</v>
      </c>
      <c r="M297" s="15" t="s">
        <v>572</v>
      </c>
      <c r="N297" s="15" t="s">
        <v>2284</v>
      </c>
    </row>
    <row r="298" spans="3:15">
      <c r="C298" s="64" t="s">
        <v>1976</v>
      </c>
      <c r="D298" s="64" t="s">
        <v>219</v>
      </c>
      <c r="E298" s="18" t="s">
        <v>1885</v>
      </c>
      <c r="F298" s="96" t="s">
        <v>192</v>
      </c>
      <c r="G298" s="64" t="s">
        <v>2331</v>
      </c>
      <c r="I298" s="15">
        <v>8.06</v>
      </c>
      <c r="J298" s="15">
        <v>8.06</v>
      </c>
      <c r="K298" s="15">
        <v>1</v>
      </c>
      <c r="L298" s="15" t="s">
        <v>572</v>
      </c>
      <c r="M298" s="15" t="s">
        <v>572</v>
      </c>
      <c r="N298" s="15" t="s">
        <v>2284</v>
      </c>
    </row>
    <row r="299" spans="3:15">
      <c r="C299" s="64" t="s">
        <v>1976</v>
      </c>
      <c r="D299" s="64" t="s">
        <v>219</v>
      </c>
      <c r="E299" s="18" t="s">
        <v>1885</v>
      </c>
      <c r="F299" s="96" t="s">
        <v>192</v>
      </c>
      <c r="G299" s="64" t="s">
        <v>2332</v>
      </c>
      <c r="I299" s="15">
        <v>28.25</v>
      </c>
      <c r="J299" s="15">
        <v>28.25</v>
      </c>
      <c r="K299" s="15">
        <v>5</v>
      </c>
      <c r="L299" s="15" t="s">
        <v>572</v>
      </c>
      <c r="M299" s="15" t="s">
        <v>572</v>
      </c>
      <c r="N299" s="15" t="s">
        <v>2284</v>
      </c>
    </row>
    <row r="300" spans="3:15">
      <c r="C300" s="64" t="s">
        <v>1976</v>
      </c>
      <c r="D300" s="64" t="s">
        <v>219</v>
      </c>
      <c r="E300" s="18" t="s">
        <v>1885</v>
      </c>
      <c r="F300" s="96" t="s">
        <v>27</v>
      </c>
      <c r="G300" s="64" t="s">
        <v>27</v>
      </c>
      <c r="I300" s="15">
        <v>5.65</v>
      </c>
      <c r="J300" s="15">
        <v>5.65</v>
      </c>
      <c r="L300" s="15" t="s">
        <v>572</v>
      </c>
      <c r="M300" s="15" t="s">
        <v>572</v>
      </c>
      <c r="N300" s="15" t="s">
        <v>2284</v>
      </c>
    </row>
    <row r="301" spans="3:15">
      <c r="C301" s="64" t="s">
        <v>1976</v>
      </c>
      <c r="D301" s="64" t="s">
        <v>219</v>
      </c>
      <c r="E301" s="18" t="s">
        <v>1885</v>
      </c>
      <c r="F301" s="96" t="s">
        <v>175</v>
      </c>
      <c r="G301" s="64" t="s">
        <v>2333</v>
      </c>
      <c r="H301" s="18">
        <v>401</v>
      </c>
      <c r="I301" s="15">
        <v>10.06</v>
      </c>
      <c r="J301" s="15">
        <v>10.06</v>
      </c>
      <c r="L301" s="15" t="s">
        <v>911</v>
      </c>
      <c r="M301" s="15" t="s">
        <v>277</v>
      </c>
      <c r="N301" s="15" t="s">
        <v>2327</v>
      </c>
      <c r="O301" s="15" t="s">
        <v>911</v>
      </c>
    </row>
    <row r="302" spans="3:15">
      <c r="C302" s="64" t="s">
        <v>1976</v>
      </c>
      <c r="D302" s="64" t="s">
        <v>219</v>
      </c>
      <c r="E302" s="18" t="s">
        <v>1885</v>
      </c>
      <c r="F302" s="96" t="s">
        <v>175</v>
      </c>
      <c r="G302" s="64" t="s">
        <v>2334</v>
      </c>
      <c r="H302" s="18">
        <v>402</v>
      </c>
      <c r="I302" s="15">
        <v>18.89</v>
      </c>
      <c r="J302" s="15">
        <v>18.89</v>
      </c>
      <c r="K302" s="15">
        <v>2</v>
      </c>
      <c r="L302" s="15" t="s">
        <v>911</v>
      </c>
      <c r="M302" s="15" t="s">
        <v>277</v>
      </c>
      <c r="N302" s="15" t="s">
        <v>2327</v>
      </c>
      <c r="O302" s="15" t="s">
        <v>911</v>
      </c>
    </row>
    <row r="303" spans="3:15">
      <c r="C303" s="64" t="s">
        <v>1976</v>
      </c>
      <c r="D303" s="64" t="s">
        <v>219</v>
      </c>
      <c r="E303" s="18" t="s">
        <v>1885</v>
      </c>
      <c r="F303" s="96" t="s">
        <v>175</v>
      </c>
      <c r="G303" s="64" t="s">
        <v>2335</v>
      </c>
      <c r="H303" s="18" t="s">
        <v>2336</v>
      </c>
      <c r="I303" s="15">
        <v>8.5299999999999994</v>
      </c>
      <c r="J303" s="15">
        <v>8.5299999999999994</v>
      </c>
      <c r="K303" s="15">
        <v>1</v>
      </c>
      <c r="L303" s="15" t="s">
        <v>911</v>
      </c>
      <c r="M303" s="15" t="s">
        <v>277</v>
      </c>
      <c r="N303" s="15" t="s">
        <v>2327</v>
      </c>
      <c r="O303" s="15" t="s">
        <v>911</v>
      </c>
    </row>
    <row r="304" spans="3:15">
      <c r="C304" s="64" t="s">
        <v>1976</v>
      </c>
      <c r="D304" s="64" t="s">
        <v>219</v>
      </c>
      <c r="E304" s="18" t="s">
        <v>1885</v>
      </c>
      <c r="F304" s="96" t="s">
        <v>175</v>
      </c>
      <c r="G304" s="64" t="s">
        <v>529</v>
      </c>
      <c r="H304" s="18">
        <v>403</v>
      </c>
      <c r="I304" s="15">
        <v>19.95</v>
      </c>
      <c r="J304" s="15">
        <v>19.95</v>
      </c>
      <c r="K304" s="15">
        <v>1</v>
      </c>
      <c r="L304" s="15" t="s">
        <v>911</v>
      </c>
      <c r="M304" s="15" t="s">
        <v>277</v>
      </c>
      <c r="N304" s="15" t="s">
        <v>2327</v>
      </c>
      <c r="O304" s="15" t="s">
        <v>911</v>
      </c>
    </row>
    <row r="305" spans="3:18">
      <c r="C305" s="64" t="s">
        <v>1976</v>
      </c>
      <c r="D305" s="64" t="s">
        <v>219</v>
      </c>
      <c r="E305" s="18" t="s">
        <v>1885</v>
      </c>
      <c r="F305" s="96" t="s">
        <v>175</v>
      </c>
      <c r="G305" s="64" t="s">
        <v>2337</v>
      </c>
      <c r="H305" s="18">
        <v>404</v>
      </c>
      <c r="I305" s="15">
        <v>3.57</v>
      </c>
      <c r="J305" s="15">
        <v>3.57</v>
      </c>
      <c r="L305" s="15" t="s">
        <v>911</v>
      </c>
      <c r="M305" s="15" t="s">
        <v>277</v>
      </c>
      <c r="N305" s="15" t="s">
        <v>2327</v>
      </c>
      <c r="O305" s="15" t="s">
        <v>911</v>
      </c>
    </row>
    <row r="306" spans="3:18">
      <c r="C306" s="64" t="s">
        <v>1976</v>
      </c>
      <c r="D306" s="64" t="s">
        <v>219</v>
      </c>
      <c r="E306" s="18" t="s">
        <v>1885</v>
      </c>
      <c r="F306" s="96" t="s">
        <v>175</v>
      </c>
      <c r="G306" s="64" t="s">
        <v>2338</v>
      </c>
      <c r="H306" s="18">
        <v>405</v>
      </c>
      <c r="I306" s="15">
        <v>7.55</v>
      </c>
      <c r="J306" s="15">
        <v>7.55</v>
      </c>
      <c r="L306" s="15" t="s">
        <v>911</v>
      </c>
      <c r="M306" s="15" t="s">
        <v>277</v>
      </c>
      <c r="N306" s="15" t="s">
        <v>2327</v>
      </c>
      <c r="O306" s="15" t="s">
        <v>911</v>
      </c>
    </row>
    <row r="307" spans="3:18">
      <c r="C307" s="64" t="s">
        <v>1976</v>
      </c>
      <c r="D307" s="64" t="s">
        <v>219</v>
      </c>
      <c r="E307" s="18" t="s">
        <v>1885</v>
      </c>
      <c r="F307" s="96" t="s">
        <v>175</v>
      </c>
      <c r="G307" s="64" t="s">
        <v>2339</v>
      </c>
      <c r="H307" s="18">
        <v>406</v>
      </c>
      <c r="I307" s="15">
        <v>44.78</v>
      </c>
      <c r="J307" s="15">
        <v>44.78</v>
      </c>
      <c r="K307" s="15">
        <v>3</v>
      </c>
      <c r="L307" s="15" t="s">
        <v>2340</v>
      </c>
      <c r="M307" s="15" t="s">
        <v>277</v>
      </c>
      <c r="N307" s="15" t="s">
        <v>2327</v>
      </c>
      <c r="O307" s="15" t="s">
        <v>2340</v>
      </c>
    </row>
    <row r="308" spans="3:18">
      <c r="C308" s="64" t="s">
        <v>1976</v>
      </c>
      <c r="D308" s="64" t="s">
        <v>219</v>
      </c>
      <c r="E308" s="18" t="s">
        <v>1885</v>
      </c>
      <c r="F308" s="96" t="s">
        <v>175</v>
      </c>
      <c r="G308" s="64" t="s">
        <v>2341</v>
      </c>
      <c r="H308" s="18">
        <v>407</v>
      </c>
      <c r="I308" s="15">
        <v>26.48</v>
      </c>
      <c r="J308" s="15">
        <v>26.48</v>
      </c>
      <c r="K308" s="15">
        <v>2</v>
      </c>
      <c r="L308" s="15" t="s">
        <v>2340</v>
      </c>
      <c r="M308" s="15" t="s">
        <v>277</v>
      </c>
      <c r="N308" s="15" t="s">
        <v>2327</v>
      </c>
      <c r="O308" s="15" t="s">
        <v>2340</v>
      </c>
    </row>
    <row r="309" spans="3:18">
      <c r="C309" s="64" t="s">
        <v>1976</v>
      </c>
      <c r="D309" s="64" t="s">
        <v>219</v>
      </c>
      <c r="E309" s="18" t="s">
        <v>1885</v>
      </c>
      <c r="F309" s="96" t="s">
        <v>175</v>
      </c>
      <c r="G309" s="64" t="s">
        <v>2342</v>
      </c>
      <c r="H309" s="18">
        <v>408</v>
      </c>
      <c r="I309" s="15">
        <v>13.53</v>
      </c>
      <c r="J309" s="15">
        <v>13.53</v>
      </c>
      <c r="L309" s="15" t="s">
        <v>911</v>
      </c>
      <c r="M309" s="15" t="s">
        <v>277</v>
      </c>
      <c r="N309" s="15" t="s">
        <v>2327</v>
      </c>
      <c r="O309" s="15" t="s">
        <v>911</v>
      </c>
    </row>
    <row r="310" spans="3:18">
      <c r="C310" s="64" t="s">
        <v>1976</v>
      </c>
      <c r="D310" s="64" t="s">
        <v>219</v>
      </c>
      <c r="E310" s="18" t="s">
        <v>1885</v>
      </c>
      <c r="F310" s="96" t="s">
        <v>175</v>
      </c>
      <c r="G310" s="64" t="s">
        <v>2343</v>
      </c>
      <c r="H310" s="18">
        <v>409</v>
      </c>
      <c r="I310" s="15">
        <v>16.96</v>
      </c>
      <c r="J310" s="15">
        <v>16.96</v>
      </c>
      <c r="K310" s="15">
        <v>2</v>
      </c>
      <c r="L310" s="15" t="s">
        <v>911</v>
      </c>
      <c r="M310" s="15" t="s">
        <v>277</v>
      </c>
      <c r="N310" s="15" t="s">
        <v>2327</v>
      </c>
      <c r="O310" s="15" t="s">
        <v>911</v>
      </c>
    </row>
    <row r="311" spans="3:18">
      <c r="C311" s="64" t="s">
        <v>1976</v>
      </c>
      <c r="D311" s="64" t="s">
        <v>219</v>
      </c>
      <c r="E311" s="18" t="s">
        <v>1885</v>
      </c>
      <c r="F311" s="96" t="s">
        <v>355</v>
      </c>
      <c r="G311" s="64" t="s">
        <v>2344</v>
      </c>
      <c r="H311" s="18">
        <v>501</v>
      </c>
      <c r="I311" s="15">
        <v>20.010000000000002</v>
      </c>
      <c r="J311" s="15">
        <v>20.010000000000002</v>
      </c>
      <c r="L311" s="15" t="s">
        <v>911</v>
      </c>
      <c r="M311" s="15" t="s">
        <v>277</v>
      </c>
      <c r="N311" s="15" t="s">
        <v>2271</v>
      </c>
      <c r="O311" s="15" t="s">
        <v>911</v>
      </c>
    </row>
    <row r="312" spans="3:18">
      <c r="C312" s="64" t="s">
        <v>1989</v>
      </c>
      <c r="D312" s="64" t="s">
        <v>219</v>
      </c>
      <c r="E312" s="18" t="s">
        <v>1885</v>
      </c>
      <c r="F312" s="96" t="s">
        <v>355</v>
      </c>
      <c r="G312" s="64" t="s">
        <v>1987</v>
      </c>
      <c r="I312" s="15">
        <f>129.13-I313</f>
        <v>123.58</v>
      </c>
      <c r="J312" s="15">
        <f>129.13-J313</f>
        <v>123.58</v>
      </c>
      <c r="L312" s="18" t="s">
        <v>572</v>
      </c>
      <c r="M312" s="15" t="s">
        <v>572</v>
      </c>
      <c r="N312" s="15" t="s">
        <v>2284</v>
      </c>
    </row>
    <row r="313" spans="3:18">
      <c r="C313" s="64" t="s">
        <v>1989</v>
      </c>
      <c r="D313" s="64" t="s">
        <v>219</v>
      </c>
      <c r="E313" s="18" t="s">
        <v>1885</v>
      </c>
      <c r="F313" s="96" t="s">
        <v>355</v>
      </c>
      <c r="G313" s="64" t="s">
        <v>1988</v>
      </c>
      <c r="I313" s="15">
        <v>5.55</v>
      </c>
      <c r="J313" s="15">
        <v>5.55</v>
      </c>
      <c r="L313" s="18" t="s">
        <v>572</v>
      </c>
      <c r="M313" s="15" t="s">
        <v>572</v>
      </c>
      <c r="N313" s="15" t="s">
        <v>2284</v>
      </c>
    </row>
    <row r="314" spans="3:18">
      <c r="C314" s="254" t="s">
        <v>2349</v>
      </c>
      <c r="D314" s="64" t="s">
        <v>219</v>
      </c>
      <c r="E314" s="18" t="s">
        <v>1885</v>
      </c>
      <c r="F314" s="96" t="s">
        <v>355</v>
      </c>
      <c r="G314" s="64" t="s">
        <v>213</v>
      </c>
      <c r="H314" s="18" t="s">
        <v>2177</v>
      </c>
      <c r="I314" s="15">
        <v>5.6</v>
      </c>
      <c r="J314" s="15">
        <v>5.6</v>
      </c>
      <c r="L314" s="18" t="s">
        <v>572</v>
      </c>
      <c r="M314" s="15" t="s">
        <v>277</v>
      </c>
      <c r="N314" s="15" t="s">
        <v>2345</v>
      </c>
      <c r="O314" s="15" t="s">
        <v>572</v>
      </c>
    </row>
    <row r="315" spans="3:18">
      <c r="C315" s="254" t="s">
        <v>2349</v>
      </c>
      <c r="D315" s="98" t="s">
        <v>219</v>
      </c>
      <c r="E315" s="64" t="s">
        <v>1976</v>
      </c>
      <c r="F315" s="96" t="s">
        <v>355</v>
      </c>
      <c r="G315" s="64" t="s">
        <v>2346</v>
      </c>
      <c r="H315" s="18" t="s">
        <v>2177</v>
      </c>
      <c r="I315" s="15">
        <v>1.7</v>
      </c>
      <c r="J315" s="15">
        <v>1.7</v>
      </c>
      <c r="L315" s="18" t="s">
        <v>572</v>
      </c>
      <c r="M315" s="15" t="s">
        <v>572</v>
      </c>
      <c r="N315" s="15" t="s">
        <v>2345</v>
      </c>
    </row>
    <row r="316" spans="3:18">
      <c r="C316" s="339" t="s">
        <v>820</v>
      </c>
      <c r="D316" s="44" t="s">
        <v>644</v>
      </c>
      <c r="E316" s="426" t="s">
        <v>1976</v>
      </c>
      <c r="F316" s="341" t="s">
        <v>616</v>
      </c>
      <c r="G316" s="96" t="s">
        <v>2350</v>
      </c>
      <c r="H316" s="48"/>
      <c r="I316" s="48">
        <v>1670.13</v>
      </c>
      <c r="J316" s="48">
        <v>1670.13</v>
      </c>
      <c r="K316" s="48"/>
      <c r="L316" s="48"/>
      <c r="M316" s="48"/>
      <c r="N316" s="48"/>
      <c r="O316" s="48"/>
      <c r="P316"/>
      <c r="Q316"/>
      <c r="R316"/>
    </row>
    <row r="317" spans="3:18">
      <c r="C317" s="339" t="s">
        <v>820</v>
      </c>
      <c r="D317" s="44" t="s">
        <v>644</v>
      </c>
      <c r="E317" s="426" t="s">
        <v>1976</v>
      </c>
      <c r="F317" s="341" t="s">
        <v>619</v>
      </c>
      <c r="G317" s="96" t="s">
        <v>2351</v>
      </c>
      <c r="H317" s="48"/>
      <c r="I317" s="48">
        <v>1753.4</v>
      </c>
      <c r="J317" s="48">
        <v>1753.4</v>
      </c>
      <c r="K317" s="48"/>
      <c r="L317" s="48"/>
      <c r="M317" s="48"/>
      <c r="N317" s="48"/>
      <c r="O317" s="48"/>
      <c r="P317"/>
      <c r="Q317"/>
      <c r="R317"/>
    </row>
    <row r="318" spans="3:18">
      <c r="C318" s="339" t="s">
        <v>820</v>
      </c>
      <c r="D318" s="44" t="s">
        <v>644</v>
      </c>
      <c r="E318" s="426" t="s">
        <v>1976</v>
      </c>
      <c r="F318" s="341" t="s">
        <v>615</v>
      </c>
      <c r="G318" s="96" t="s">
        <v>615</v>
      </c>
      <c r="H318" s="48"/>
      <c r="I318" s="48">
        <v>899.7</v>
      </c>
      <c r="J318" s="48">
        <v>899.7</v>
      </c>
      <c r="K318" s="48"/>
      <c r="L318" s="48"/>
      <c r="M318" s="48"/>
      <c r="N318" s="48"/>
      <c r="O318" s="48"/>
      <c r="P318"/>
      <c r="Q318"/>
      <c r="R318"/>
    </row>
    <row r="319" spans="3:18">
      <c r="C319" s="339" t="s">
        <v>820</v>
      </c>
      <c r="D319" s="44" t="s">
        <v>644</v>
      </c>
      <c r="E319" s="426" t="s">
        <v>1976</v>
      </c>
      <c r="F319" s="341" t="s">
        <v>602</v>
      </c>
      <c r="G319" s="96" t="s">
        <v>2053</v>
      </c>
      <c r="H319" s="48"/>
      <c r="I319" s="48">
        <v>2253.71</v>
      </c>
      <c r="J319" s="48">
        <v>2253.71</v>
      </c>
      <c r="K319" s="48"/>
      <c r="L319" s="48"/>
      <c r="M319" s="48"/>
      <c r="N319" s="48"/>
      <c r="O319" s="48"/>
      <c r="P319"/>
      <c r="Q319"/>
      <c r="R319"/>
    </row>
    <row r="320" spans="3:18">
      <c r="C320" s="339"/>
      <c r="D320" s="44"/>
      <c r="E320" s="426"/>
      <c r="F320" s="341"/>
      <c r="G320" s="96"/>
      <c r="H320" s="48"/>
      <c r="I320" s="48"/>
      <c r="J320" s="48"/>
      <c r="K320" s="48"/>
      <c r="L320" s="48"/>
      <c r="M320" s="48"/>
      <c r="N320" s="48"/>
      <c r="O320" s="48"/>
      <c r="P320"/>
      <c r="Q320"/>
      <c r="R320"/>
    </row>
    <row r="321" spans="3:12">
      <c r="C321" s="259"/>
      <c r="D321" s="259"/>
      <c r="E321" s="259"/>
      <c r="F321" s="259"/>
      <c r="L321" s="48"/>
    </row>
    <row r="322" spans="3:12">
      <c r="D322" s="304"/>
      <c r="F322" s="13"/>
      <c r="G322" s="164"/>
      <c r="H322" s="74"/>
      <c r="I322" s="74"/>
      <c r="J322" s="74"/>
    </row>
    <row r="323" spans="3:12">
      <c r="D323" s="304"/>
      <c r="F323" s="13"/>
      <c r="G323" s="164"/>
      <c r="H323" s="74"/>
      <c r="I323" s="74"/>
      <c r="J323" s="74"/>
    </row>
    <row r="324" spans="3:12">
      <c r="D324" s="304"/>
      <c r="F324" s="13"/>
      <c r="G324" s="164"/>
      <c r="H324" s="74"/>
      <c r="I324" s="74"/>
      <c r="J324" s="74"/>
    </row>
    <row r="325" spans="3:12">
      <c r="D325" s="304"/>
      <c r="F325" s="13"/>
      <c r="G325" s="164"/>
      <c r="H325" s="74"/>
      <c r="I325" s="74"/>
      <c r="J325" s="74"/>
    </row>
    <row r="326" spans="3:12">
      <c r="D326" s="304"/>
      <c r="F326" s="13"/>
      <c r="G326" s="164"/>
      <c r="H326" s="74"/>
      <c r="I326" s="74"/>
      <c r="J326" s="74"/>
    </row>
    <row r="327" spans="3:12">
      <c r="D327" s="304"/>
      <c r="F327" s="13"/>
      <c r="G327" s="164"/>
      <c r="H327" s="74"/>
      <c r="I327" s="74"/>
      <c r="J327" s="74"/>
    </row>
    <row r="328" spans="3:12">
      <c r="D328" s="304"/>
      <c r="F328" s="13"/>
      <c r="G328" s="164"/>
      <c r="H328" s="74"/>
      <c r="I328" s="74"/>
      <c r="J328" s="74"/>
    </row>
    <row r="329" spans="3:12">
      <c r="D329" s="304"/>
      <c r="F329" s="13"/>
      <c r="G329" s="164"/>
      <c r="H329" s="74"/>
      <c r="I329" s="74"/>
      <c r="J329" s="74"/>
    </row>
    <row r="330" spans="3:12">
      <c r="D330" s="304"/>
      <c r="F330" s="39"/>
      <c r="G330" s="164"/>
      <c r="H330" s="74"/>
      <c r="I330" s="74"/>
      <c r="J330" s="74"/>
    </row>
  </sheetData>
  <autoFilter ref="C1:O330" xr:uid="{5D506CF8-747D-4941-8766-BF8E97452B24}"/>
  <mergeCells count="6">
    <mergeCell ref="F62:F63"/>
    <mergeCell ref="L2:N2"/>
    <mergeCell ref="H62:H63"/>
    <mergeCell ref="I62:I63"/>
    <mergeCell ref="J62:J63"/>
    <mergeCell ref="K62:K63"/>
  </mergeCells>
  <phoneticPr fontId="14" type="noConversion"/>
  <conditionalFormatting sqref="F4:F203">
    <cfRule type="cellIs" dxfId="96" priority="1" operator="equal">
      <formula>"DML"</formula>
    </cfRule>
    <cfRule type="cellIs" dxfId="95" priority="2" operator="equal">
      <formula>"Copa"</formula>
    </cfRule>
    <cfRule type="cellIs" dxfId="94" priority="3" operator="equal">
      <formula>"Serviço"</formula>
    </cfRule>
    <cfRule type="cellIs" dxfId="93" priority="4" operator="equal">
      <formula>"Banheiro"</formula>
    </cfRule>
  </conditionalFormatting>
  <conditionalFormatting sqref="F53:F57 F209:F227 F322:F330">
    <cfRule type="containsText" dxfId="92" priority="21" operator="containsText" text="DML">
      <formula>NOT(ISERROR(SEARCH("DML",F53)))</formula>
    </cfRule>
    <cfRule type="containsText" dxfId="91" priority="22" operator="containsText" text="Circulação">
      <formula>NOT(ISERROR(SEARCH("Circulação",F53)))</formula>
    </cfRule>
    <cfRule type="containsText" dxfId="90" priority="23" operator="containsText" text="Banheiro">
      <formula>NOT(ISERROR(SEARCH("Banheiro",F53)))</formula>
    </cfRule>
    <cfRule type="containsText" dxfId="89" priority="24" operator="containsText" text="Serviço">
      <formula>NOT(ISERROR(SEARCH("Serviço",F53)))</formula>
    </cfRule>
  </conditionalFormatting>
  <conditionalFormatting sqref="F230:F316">
    <cfRule type="containsText" dxfId="88" priority="9" operator="containsText" text="DML">
      <formula>NOT(ISERROR(SEARCH("DML",F230)))</formula>
    </cfRule>
    <cfRule type="containsText" dxfId="87" priority="10" operator="containsText" text="Circulação">
      <formula>NOT(ISERROR(SEARCH("Circulação",F230)))</formula>
    </cfRule>
    <cfRule type="containsText" dxfId="86" priority="11" operator="containsText" text="Banheiro">
      <formula>NOT(ISERROR(SEARCH("Banheiro",F230)))</formula>
    </cfRule>
    <cfRule type="containsText" dxfId="85" priority="12" operator="containsText" text="Serviço">
      <formula>NOT(ISERROR(SEARCH("Serviço",F230)))</formula>
    </cfRule>
  </conditionalFormatting>
  <conditionalFormatting sqref="F319">
    <cfRule type="containsText" dxfId="84" priority="5" operator="containsText" text="DML">
      <formula>NOT(ISERROR(SEARCH("DML",F319)))</formula>
    </cfRule>
    <cfRule type="containsText" dxfId="83" priority="6" operator="containsText" text="Circulação">
      <formula>NOT(ISERROR(SEARCH("Circulação",F319)))</formula>
    </cfRule>
    <cfRule type="containsText" dxfId="82" priority="7" operator="containsText" text="Banheiro">
      <formula>NOT(ISERROR(SEARCH("Banheiro",F319)))</formula>
    </cfRule>
    <cfRule type="containsText" dxfId="81" priority="8" operator="containsText" text="Serviço">
      <formula>NOT(ISERROR(SEARCH("Serviço",F319)))</formula>
    </cfRule>
  </conditionalFormatting>
  <pageMargins left="0.98425196850393704" right="0.51181102362204722" top="0.59055118110236227" bottom="0.59055118110236227" header="0.31496062992125984" footer="0.31496062992125984"/>
  <pageSetup paperSize="9" scale="57" fitToHeight="0" orientation="landscape" r:id="rId1"/>
  <headerFooter>
    <oddHeader>&amp;C&amp;F&amp;R&amp;A</oddHeader>
    <oddFooter>&amp;LÚLTIMA ATUALIZAÇÃO: 30/05/2025&amp;CUFCA/DINFRA - Pág &amp;P/&amp;N&amp;RSUPERVISÃO DO LEVANTAMENTO: Arq. LOUISE BARBOSA</oddFooter>
  </headerFooter>
  <rowBreaks count="6" manualBreakCount="6">
    <brk id="28" min="2" max="13" man="1"/>
    <brk id="79" min="2" max="13" man="1"/>
    <brk id="128" min="2" max="13" man="1"/>
    <brk id="183" min="2" max="13" man="1"/>
    <brk id="206" min="2" max="13" man="1"/>
    <brk id="265" min="2"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5CB58-0C5A-4D88-80ED-CAD9BA89B51D}">
  <sheetPr>
    <tabColor theme="5" tint="0.59999389629810485"/>
    <pageSetUpPr fitToPage="1"/>
  </sheetPr>
  <dimension ref="A1:AD1149"/>
  <sheetViews>
    <sheetView view="pageBreakPreview" zoomScale="70" zoomScaleNormal="85" zoomScaleSheetLayoutView="70" workbookViewId="0">
      <selection activeCell="Q20" sqref="Q20"/>
    </sheetView>
  </sheetViews>
  <sheetFormatPr defaultRowHeight="15"/>
  <cols>
    <col min="3" max="4" width="13.140625" customWidth="1"/>
    <col min="5" max="5" width="13.140625" style="48" customWidth="1"/>
    <col min="6" max="6" width="15.42578125" style="13" customWidth="1"/>
    <col min="7" max="7" width="11" style="13" bestFit="1" customWidth="1"/>
    <col min="8" max="8" width="12.7109375" style="13" bestFit="1" customWidth="1"/>
    <col min="9" max="9" width="15.28515625" style="13" customWidth="1"/>
    <col min="10" max="10" width="46.140625" style="34" customWidth="1"/>
    <col min="11" max="11" width="11.42578125" style="13" customWidth="1"/>
    <col min="12" max="12" width="15.5703125" style="92" customWidth="1"/>
    <col min="13" max="13" width="21.85546875" style="163" customWidth="1"/>
    <col min="14" max="14" width="9.140625" style="196" customWidth="1"/>
    <col min="15" max="15" width="17.28515625" style="196" customWidth="1"/>
    <col min="16" max="16" width="15.28515625" style="13" customWidth="1"/>
    <col min="17" max="17" width="19.7109375" style="13" customWidth="1"/>
    <col min="18" max="18" width="25.140625" style="13" customWidth="1"/>
    <col min="19" max="19" width="52.85546875" style="18" customWidth="1"/>
    <col min="20" max="20" width="7.42578125" style="48" customWidth="1"/>
    <col min="21" max="25" width="9.140625" style="48" customWidth="1"/>
    <col min="26" max="26" width="15.140625" style="48" customWidth="1"/>
    <col min="27" max="27" width="10.7109375" style="48" customWidth="1"/>
    <col min="28" max="28" width="6.7109375" style="48" customWidth="1"/>
    <col min="29" max="29" width="9.140625" style="48"/>
    <col min="30" max="30" width="10.7109375" style="48" customWidth="1"/>
  </cols>
  <sheetData>
    <row r="1" spans="1:30">
      <c r="A1" s="117"/>
      <c r="B1" s="118"/>
      <c r="C1" s="118"/>
      <c r="D1" s="118"/>
      <c r="F1" s="492" t="s">
        <v>818</v>
      </c>
      <c r="G1" s="280"/>
      <c r="H1" s="493"/>
      <c r="I1" s="494"/>
      <c r="J1" s="495"/>
      <c r="K1" s="65"/>
      <c r="L1" s="496"/>
      <c r="M1" s="65"/>
    </row>
    <row r="2" spans="1:30">
      <c r="A2" s="120"/>
      <c r="E2" s="165"/>
      <c r="F2" s="65"/>
      <c r="G2" s="65"/>
      <c r="I2" s="65"/>
      <c r="J2" s="497"/>
      <c r="K2" s="65"/>
      <c r="L2" s="65"/>
      <c r="M2" s="65"/>
      <c r="N2" s="196" t="s">
        <v>863</v>
      </c>
      <c r="O2" s="196" t="s">
        <v>880</v>
      </c>
      <c r="P2" s="646" t="s">
        <v>250</v>
      </c>
      <c r="Q2" s="646"/>
      <c r="R2" s="646"/>
      <c r="S2" s="54"/>
      <c r="T2" s="642" t="s">
        <v>577</v>
      </c>
      <c r="U2" s="642"/>
      <c r="V2" s="642"/>
      <c r="W2" s="642"/>
      <c r="X2" s="165"/>
      <c r="Y2" s="165"/>
      <c r="AA2" s="632" t="s">
        <v>881</v>
      </c>
      <c r="AB2" s="632"/>
      <c r="AC2" s="632"/>
      <c r="AD2" s="632"/>
    </row>
    <row r="3" spans="1:30" ht="39" customHeight="1">
      <c r="A3" s="120"/>
      <c r="C3" s="91" t="s">
        <v>1221</v>
      </c>
      <c r="D3" s="91" t="s">
        <v>1223</v>
      </c>
      <c r="E3" s="29" t="s">
        <v>1216</v>
      </c>
      <c r="F3" s="281" t="s">
        <v>70</v>
      </c>
      <c r="G3" s="281" t="s">
        <v>1861</v>
      </c>
      <c r="H3" s="498" t="s">
        <v>36</v>
      </c>
      <c r="I3" s="498" t="s">
        <v>69</v>
      </c>
      <c r="J3" s="498" t="s">
        <v>74</v>
      </c>
      <c r="K3" s="498" t="s">
        <v>71</v>
      </c>
      <c r="L3" s="498" t="s">
        <v>75</v>
      </c>
      <c r="M3" s="498" t="s">
        <v>257</v>
      </c>
      <c r="N3" s="498"/>
      <c r="O3" s="498"/>
      <c r="P3" s="498" t="s">
        <v>271</v>
      </c>
      <c r="Q3" s="498" t="s">
        <v>272</v>
      </c>
      <c r="R3" s="498" t="s">
        <v>273</v>
      </c>
      <c r="S3" s="29" t="s">
        <v>274</v>
      </c>
      <c r="T3" s="633" t="s">
        <v>578</v>
      </c>
      <c r="U3" s="633"/>
      <c r="V3" s="633"/>
      <c r="W3" s="29" t="s">
        <v>579</v>
      </c>
      <c r="X3" s="29"/>
      <c r="Y3" s="29"/>
      <c r="Z3" s="29" t="s">
        <v>568</v>
      </c>
      <c r="AA3" s="29" t="s">
        <v>882</v>
      </c>
      <c r="AB3" s="29" t="s">
        <v>884</v>
      </c>
      <c r="AC3" s="29" t="s">
        <v>883</v>
      </c>
      <c r="AD3" s="29" t="s">
        <v>885</v>
      </c>
    </row>
    <row r="4" spans="1:30" ht="31.5" customHeight="1">
      <c r="A4" s="120"/>
      <c r="C4" s="272" t="s">
        <v>1222</v>
      </c>
      <c r="D4" s="272" t="s">
        <v>1222</v>
      </c>
      <c r="E4" s="18" t="s">
        <v>1217</v>
      </c>
      <c r="F4" s="499" t="s">
        <v>365</v>
      </c>
      <c r="G4" s="282" t="s">
        <v>1858</v>
      </c>
      <c r="H4" s="500" t="s">
        <v>78</v>
      </c>
      <c r="I4" s="13" t="s">
        <v>208</v>
      </c>
      <c r="J4" s="283" t="s">
        <v>1534</v>
      </c>
      <c r="K4" s="13" t="s">
        <v>1359</v>
      </c>
      <c r="L4" s="13">
        <v>41.24</v>
      </c>
      <c r="M4" s="13">
        <v>41.24</v>
      </c>
      <c r="N4" s="196">
        <v>7</v>
      </c>
      <c r="P4" s="13" t="s">
        <v>268</v>
      </c>
      <c r="Q4" s="13" t="s">
        <v>269</v>
      </c>
      <c r="R4" s="13" t="s">
        <v>460</v>
      </c>
      <c r="S4" s="15" t="s">
        <v>360</v>
      </c>
      <c r="T4" s="18">
        <v>400</v>
      </c>
      <c r="U4" s="18">
        <v>448</v>
      </c>
      <c r="V4" s="18">
        <v>415</v>
      </c>
      <c r="W4" s="18">
        <f t="shared" ref="W4:W15" si="0">AVERAGE(T4:V4)</f>
        <v>421</v>
      </c>
      <c r="X4" s="18"/>
      <c r="Y4" s="18"/>
      <c r="Z4" s="21" t="e">
        <f>SUM(#REF!)</f>
        <v>#REF!</v>
      </c>
    </row>
    <row r="5" spans="1:30">
      <c r="A5" s="120"/>
      <c r="C5" s="273"/>
      <c r="D5" s="273"/>
      <c r="E5" s="18" t="s">
        <v>1217</v>
      </c>
      <c r="F5" s="499" t="s">
        <v>365</v>
      </c>
      <c r="G5" s="282" t="s">
        <v>1858</v>
      </c>
      <c r="H5" s="500" t="s">
        <v>78</v>
      </c>
      <c r="I5" s="13" t="s">
        <v>208</v>
      </c>
      <c r="J5" s="283" t="s">
        <v>1535</v>
      </c>
      <c r="K5" s="13" t="s">
        <v>1360</v>
      </c>
      <c r="L5" s="13">
        <v>24.84</v>
      </c>
      <c r="M5" s="13">
        <v>24.84</v>
      </c>
      <c r="N5" s="196">
        <v>4</v>
      </c>
      <c r="P5" s="13" t="s">
        <v>268</v>
      </c>
      <c r="Q5" s="13" t="s">
        <v>269</v>
      </c>
      <c r="R5" s="13" t="s">
        <v>460</v>
      </c>
      <c r="S5" s="15" t="s">
        <v>360</v>
      </c>
      <c r="T5" s="18">
        <f>SUM(103+416)/2</f>
        <v>259.5</v>
      </c>
      <c r="U5" s="18">
        <f>SUM(191+188)/2</f>
        <v>189.5</v>
      </c>
      <c r="V5" s="18">
        <v>364</v>
      </c>
      <c r="W5" s="18">
        <f t="shared" si="0"/>
        <v>271</v>
      </c>
      <c r="X5" s="18"/>
      <c r="Y5" s="18"/>
      <c r="Z5" s="21"/>
    </row>
    <row r="6" spans="1:30">
      <c r="A6" s="120"/>
      <c r="C6" s="273"/>
      <c r="D6" s="273"/>
      <c r="E6" s="18" t="s">
        <v>1217</v>
      </c>
      <c r="F6" s="499" t="s">
        <v>365</v>
      </c>
      <c r="G6" s="282" t="s">
        <v>1858</v>
      </c>
      <c r="H6" s="500" t="s">
        <v>78</v>
      </c>
      <c r="I6" s="13" t="s">
        <v>596</v>
      </c>
      <c r="J6" s="34" t="s">
        <v>919</v>
      </c>
      <c r="K6" s="13" t="s">
        <v>920</v>
      </c>
      <c r="L6" s="501">
        <v>66.599999999999994</v>
      </c>
      <c r="M6" s="501">
        <v>66.599999999999994</v>
      </c>
      <c r="N6" s="196">
        <v>33</v>
      </c>
      <c r="P6" s="13" t="s">
        <v>268</v>
      </c>
      <c r="Q6" s="13" t="s">
        <v>269</v>
      </c>
      <c r="R6" s="13" t="s">
        <v>460</v>
      </c>
      <c r="S6" s="15" t="s">
        <v>360</v>
      </c>
      <c r="T6" s="18">
        <v>0</v>
      </c>
      <c r="U6" s="18">
        <f>T6</f>
        <v>0</v>
      </c>
      <c r="V6" s="18">
        <f>T6</f>
        <v>0</v>
      </c>
      <c r="W6" s="18">
        <f t="shared" si="0"/>
        <v>0</v>
      </c>
      <c r="X6" s="18"/>
      <c r="Y6" s="18"/>
      <c r="Z6" s="21"/>
    </row>
    <row r="7" spans="1:30">
      <c r="A7" s="120"/>
      <c r="C7" s="273"/>
      <c r="D7" s="273"/>
      <c r="E7" s="18" t="s">
        <v>1217</v>
      </c>
      <c r="F7" s="499" t="s">
        <v>365</v>
      </c>
      <c r="G7" s="282" t="s">
        <v>1858</v>
      </c>
      <c r="H7" s="500" t="s">
        <v>78</v>
      </c>
      <c r="I7" s="13" t="s">
        <v>1364</v>
      </c>
      <c r="J7" s="34" t="s">
        <v>1536</v>
      </c>
      <c r="K7" s="13" t="s">
        <v>921</v>
      </c>
      <c r="L7" s="163">
        <v>46.6</v>
      </c>
      <c r="M7" s="163">
        <v>46.6</v>
      </c>
      <c r="N7" s="196">
        <v>25</v>
      </c>
      <c r="P7" s="13" t="s">
        <v>268</v>
      </c>
      <c r="Q7" s="13" t="s">
        <v>269</v>
      </c>
      <c r="R7" s="13" t="s">
        <v>460</v>
      </c>
      <c r="S7" s="15" t="s">
        <v>360</v>
      </c>
      <c r="T7" s="18">
        <v>536</v>
      </c>
      <c r="U7" s="18">
        <v>530</v>
      </c>
      <c r="V7" s="18">
        <v>555</v>
      </c>
      <c r="W7" s="18">
        <f t="shared" si="0"/>
        <v>540.33333333333337</v>
      </c>
      <c r="X7" s="18"/>
      <c r="Y7" s="18"/>
      <c r="Z7" s="21"/>
    </row>
    <row r="8" spans="1:30">
      <c r="A8" s="120"/>
      <c r="C8" s="273"/>
      <c r="D8" s="273"/>
      <c r="E8" s="18" t="s">
        <v>1217</v>
      </c>
      <c r="F8" s="499" t="s">
        <v>365</v>
      </c>
      <c r="G8" s="282" t="s">
        <v>1858</v>
      </c>
      <c r="H8" s="500" t="s">
        <v>78</v>
      </c>
      <c r="I8" s="13" t="s">
        <v>208</v>
      </c>
      <c r="J8" s="34" t="s">
        <v>1537</v>
      </c>
      <c r="K8" s="13" t="s">
        <v>922</v>
      </c>
      <c r="L8" s="501">
        <v>24.84</v>
      </c>
      <c r="M8" s="501">
        <v>24.84</v>
      </c>
      <c r="N8" s="196">
        <v>4</v>
      </c>
      <c r="P8" s="13" t="s">
        <v>268</v>
      </c>
      <c r="Q8" s="13" t="s">
        <v>269</v>
      </c>
      <c r="R8" s="13" t="s">
        <v>460</v>
      </c>
      <c r="S8" s="15" t="s">
        <v>360</v>
      </c>
      <c r="T8" s="18">
        <f>SUM(182+72)/2</f>
        <v>127</v>
      </c>
      <c r="U8" s="18">
        <v>351</v>
      </c>
      <c r="V8" s="18">
        <v>128</v>
      </c>
      <c r="W8" s="18">
        <f t="shared" si="0"/>
        <v>202</v>
      </c>
      <c r="X8" s="18"/>
      <c r="Y8" s="18"/>
      <c r="Z8" s="21"/>
    </row>
    <row r="9" spans="1:30" ht="30">
      <c r="A9" s="120"/>
      <c r="C9" s="273"/>
      <c r="D9" s="273"/>
      <c r="E9" s="18" t="s">
        <v>1217</v>
      </c>
      <c r="F9" s="499" t="s">
        <v>365</v>
      </c>
      <c r="G9" s="282" t="s">
        <v>1858</v>
      </c>
      <c r="H9" s="500" t="s">
        <v>78</v>
      </c>
      <c r="I9" s="13" t="s">
        <v>208</v>
      </c>
      <c r="J9" s="263" t="s">
        <v>1857</v>
      </c>
      <c r="K9" s="13" t="s">
        <v>923</v>
      </c>
      <c r="L9" s="501">
        <v>33.119999999999997</v>
      </c>
      <c r="M9" s="501">
        <v>33.119999999999997</v>
      </c>
      <c r="N9" s="196">
        <v>4</v>
      </c>
      <c r="O9" s="196" t="s">
        <v>1538</v>
      </c>
      <c r="P9" s="13" t="s">
        <v>268</v>
      </c>
      <c r="Q9" s="13" t="s">
        <v>269</v>
      </c>
      <c r="R9" s="13" t="s">
        <v>460</v>
      </c>
      <c r="S9" s="15" t="s">
        <v>360</v>
      </c>
      <c r="T9" s="18">
        <v>410</v>
      </c>
      <c r="U9" s="18" t="s">
        <v>100</v>
      </c>
      <c r="V9" s="18" t="s">
        <v>100</v>
      </c>
      <c r="W9" s="18">
        <f t="shared" si="0"/>
        <v>410</v>
      </c>
      <c r="X9" s="18"/>
      <c r="Y9" s="18"/>
      <c r="Z9" s="21"/>
    </row>
    <row r="10" spans="1:30">
      <c r="A10" s="120"/>
      <c r="C10" s="273"/>
      <c r="D10" s="273"/>
      <c r="E10" s="18" t="s">
        <v>1217</v>
      </c>
      <c r="F10" s="499" t="s">
        <v>365</v>
      </c>
      <c r="G10" s="282" t="s">
        <v>1858</v>
      </c>
      <c r="H10" s="500" t="s">
        <v>78</v>
      </c>
      <c r="I10" s="13" t="s">
        <v>249</v>
      </c>
      <c r="J10" s="34" t="s">
        <v>1539</v>
      </c>
      <c r="K10" s="13" t="s">
        <v>924</v>
      </c>
      <c r="L10" s="501">
        <v>33.119999999999997</v>
      </c>
      <c r="M10" s="501">
        <v>33.119999999999997</v>
      </c>
      <c r="N10" s="196">
        <v>6</v>
      </c>
      <c r="P10" s="13" t="s">
        <v>268</v>
      </c>
      <c r="Q10" s="13" t="s">
        <v>269</v>
      </c>
      <c r="R10" s="13" t="s">
        <v>460</v>
      </c>
      <c r="S10" s="15" t="s">
        <v>360</v>
      </c>
      <c r="T10" s="18">
        <f>SUM(302+380)/2</f>
        <v>341</v>
      </c>
      <c r="U10" s="18">
        <v>410</v>
      </c>
      <c r="V10" s="18">
        <v>342</v>
      </c>
      <c r="W10" s="18">
        <f t="shared" si="0"/>
        <v>364.33333333333331</v>
      </c>
      <c r="X10" s="18"/>
      <c r="Y10" s="18"/>
      <c r="Z10" s="21"/>
    </row>
    <row r="11" spans="1:30" ht="30">
      <c r="A11" s="120" t="s">
        <v>916</v>
      </c>
      <c r="C11" s="273"/>
      <c r="D11" s="273"/>
      <c r="E11" s="18" t="s">
        <v>1217</v>
      </c>
      <c r="F11" s="499" t="s">
        <v>365</v>
      </c>
      <c r="G11" s="282" t="s">
        <v>1858</v>
      </c>
      <c r="H11" s="500" t="s">
        <v>78</v>
      </c>
      <c r="I11" s="13" t="s">
        <v>208</v>
      </c>
      <c r="J11" s="34" t="s">
        <v>1540</v>
      </c>
      <c r="K11" s="13" t="s">
        <v>925</v>
      </c>
      <c r="L11" s="501">
        <v>10.57</v>
      </c>
      <c r="M11" s="501">
        <v>10.57</v>
      </c>
      <c r="N11" s="196">
        <v>2</v>
      </c>
      <c r="O11" s="196" t="s">
        <v>1540</v>
      </c>
      <c r="P11" s="13" t="s">
        <v>268</v>
      </c>
      <c r="Q11" s="13" t="s">
        <v>269</v>
      </c>
      <c r="R11" s="13" t="s">
        <v>460</v>
      </c>
      <c r="S11" s="15" t="s">
        <v>360</v>
      </c>
      <c r="T11" s="18">
        <v>497</v>
      </c>
      <c r="U11" s="18">
        <v>391</v>
      </c>
      <c r="V11" s="18">
        <v>599</v>
      </c>
      <c r="W11" s="18">
        <f t="shared" si="0"/>
        <v>495.66666666666669</v>
      </c>
      <c r="X11" s="18"/>
      <c r="Y11" s="18"/>
      <c r="Z11" s="21"/>
    </row>
    <row r="12" spans="1:30">
      <c r="A12" s="120"/>
      <c r="C12" s="273"/>
      <c r="D12" s="273"/>
      <c r="E12" s="18" t="s">
        <v>1217</v>
      </c>
      <c r="F12" s="499" t="s">
        <v>365</v>
      </c>
      <c r="G12" s="282" t="s">
        <v>1858</v>
      </c>
      <c r="H12" s="500" t="s">
        <v>78</v>
      </c>
      <c r="I12" s="13" t="s">
        <v>208</v>
      </c>
      <c r="J12" s="16" t="s">
        <v>1541</v>
      </c>
      <c r="K12" s="13" t="s">
        <v>926</v>
      </c>
      <c r="L12" s="163">
        <v>10.57</v>
      </c>
      <c r="M12" s="163">
        <v>10.57</v>
      </c>
      <c r="N12" s="196">
        <v>2</v>
      </c>
      <c r="P12" s="13" t="s">
        <v>268</v>
      </c>
      <c r="Q12" s="13" t="s">
        <v>269</v>
      </c>
      <c r="R12" s="13" t="s">
        <v>460</v>
      </c>
      <c r="S12" s="15" t="s">
        <v>360</v>
      </c>
      <c r="T12" s="18">
        <v>0</v>
      </c>
      <c r="U12" s="18"/>
      <c r="V12" s="18"/>
      <c r="W12" s="18">
        <f t="shared" si="0"/>
        <v>0</v>
      </c>
      <c r="X12" s="18"/>
      <c r="Y12" s="18"/>
      <c r="Z12" s="21"/>
    </row>
    <row r="13" spans="1:30">
      <c r="A13" s="120"/>
      <c r="C13" s="273"/>
      <c r="D13" s="273"/>
      <c r="E13" s="18" t="s">
        <v>1217</v>
      </c>
      <c r="F13" s="499" t="s">
        <v>365</v>
      </c>
      <c r="G13" s="282" t="s">
        <v>1858</v>
      </c>
      <c r="H13" s="500" t="s">
        <v>78</v>
      </c>
      <c r="I13" s="13" t="s">
        <v>208</v>
      </c>
      <c r="J13" s="16" t="s">
        <v>1542</v>
      </c>
      <c r="K13" s="13" t="s">
        <v>927</v>
      </c>
      <c r="L13" s="163">
        <v>10.57</v>
      </c>
      <c r="M13" s="163">
        <v>10.57</v>
      </c>
      <c r="N13" s="196">
        <v>2</v>
      </c>
      <c r="P13" s="13" t="s">
        <v>268</v>
      </c>
      <c r="Q13" s="13" t="s">
        <v>269</v>
      </c>
      <c r="R13" s="13" t="s">
        <v>460</v>
      </c>
      <c r="S13" s="15" t="s">
        <v>360</v>
      </c>
      <c r="T13" s="18">
        <v>0</v>
      </c>
      <c r="U13" s="18"/>
      <c r="V13" s="18"/>
      <c r="W13" s="18">
        <f t="shared" si="0"/>
        <v>0</v>
      </c>
      <c r="X13" s="18"/>
      <c r="Y13" s="18"/>
      <c r="Z13" s="21"/>
    </row>
    <row r="14" spans="1:30">
      <c r="A14" s="120"/>
      <c r="C14" s="273"/>
      <c r="D14" s="273"/>
      <c r="E14" s="18" t="s">
        <v>1217</v>
      </c>
      <c r="F14" s="499" t="s">
        <v>365</v>
      </c>
      <c r="G14" s="282" t="s">
        <v>1858</v>
      </c>
      <c r="H14" s="500" t="s">
        <v>78</v>
      </c>
      <c r="I14" s="13" t="s">
        <v>208</v>
      </c>
      <c r="J14" s="16" t="s">
        <v>1543</v>
      </c>
      <c r="K14" s="13" t="s">
        <v>928</v>
      </c>
      <c r="L14" s="501">
        <v>10.57</v>
      </c>
      <c r="M14" s="501">
        <v>10.57</v>
      </c>
      <c r="N14" s="196">
        <v>2</v>
      </c>
      <c r="P14" s="13" t="s">
        <v>268</v>
      </c>
      <c r="Q14" s="13" t="s">
        <v>269</v>
      </c>
      <c r="R14" s="13" t="s">
        <v>460</v>
      </c>
      <c r="S14" s="15" t="s">
        <v>360</v>
      </c>
      <c r="T14" s="18">
        <v>532</v>
      </c>
      <c r="U14" s="18">
        <v>670</v>
      </c>
      <c r="V14" s="18" t="s">
        <v>100</v>
      </c>
      <c r="W14" s="18">
        <f t="shared" si="0"/>
        <v>601</v>
      </c>
      <c r="X14" s="18"/>
      <c r="Y14" s="18"/>
      <c r="Z14" s="21"/>
    </row>
    <row r="15" spans="1:30">
      <c r="A15" s="120"/>
      <c r="C15" s="273"/>
      <c r="D15" s="273"/>
      <c r="E15" s="18" t="s">
        <v>1217</v>
      </c>
      <c r="F15" s="499" t="s">
        <v>365</v>
      </c>
      <c r="G15" s="282" t="s">
        <v>1858</v>
      </c>
      <c r="H15" s="500" t="s">
        <v>78</v>
      </c>
      <c r="I15" s="13" t="s">
        <v>208</v>
      </c>
      <c r="J15" s="16" t="s">
        <v>1544</v>
      </c>
      <c r="K15" s="13" t="s">
        <v>929</v>
      </c>
      <c r="L15" s="501">
        <v>10.57</v>
      </c>
      <c r="M15" s="501">
        <v>10.57</v>
      </c>
      <c r="N15" s="196">
        <v>2</v>
      </c>
      <c r="P15" s="13" t="s">
        <v>268</v>
      </c>
      <c r="Q15" s="13" t="s">
        <v>269</v>
      </c>
      <c r="R15" s="13" t="s">
        <v>460</v>
      </c>
      <c r="S15" s="15" t="s">
        <v>360</v>
      </c>
      <c r="T15" s="18">
        <v>0</v>
      </c>
      <c r="U15" s="18"/>
      <c r="V15" s="18"/>
      <c r="W15" s="18">
        <f t="shared" si="0"/>
        <v>0</v>
      </c>
      <c r="X15" s="18"/>
      <c r="Y15" s="18"/>
      <c r="Z15" s="21"/>
    </row>
    <row r="16" spans="1:30">
      <c r="A16" s="120"/>
      <c r="C16" s="273"/>
      <c r="D16" s="273"/>
      <c r="E16" s="18" t="s">
        <v>1217</v>
      </c>
      <c r="F16" s="499" t="s">
        <v>365</v>
      </c>
      <c r="G16" s="282" t="s">
        <v>1858</v>
      </c>
      <c r="H16" s="500" t="s">
        <v>78</v>
      </c>
      <c r="I16" s="13" t="s">
        <v>208</v>
      </c>
      <c r="J16" s="16" t="s">
        <v>1545</v>
      </c>
      <c r="K16" s="13" t="s">
        <v>930</v>
      </c>
      <c r="L16" s="163">
        <v>10.57</v>
      </c>
      <c r="M16" s="163">
        <v>10.57</v>
      </c>
      <c r="N16" s="196">
        <v>2</v>
      </c>
      <c r="P16" s="13" t="s">
        <v>268</v>
      </c>
      <c r="Q16" s="13" t="s">
        <v>269</v>
      </c>
      <c r="R16" s="13" t="s">
        <v>460</v>
      </c>
      <c r="S16" s="15" t="s">
        <v>360</v>
      </c>
      <c r="T16" s="18">
        <v>0</v>
      </c>
      <c r="U16" s="18"/>
      <c r="V16" s="18"/>
      <c r="W16" s="18">
        <f t="shared" ref="W16:W83" si="1">AVERAGE(T16:V16)</f>
        <v>0</v>
      </c>
      <c r="X16" s="18"/>
      <c r="Y16" s="18"/>
      <c r="Z16" s="21"/>
    </row>
    <row r="17" spans="1:26">
      <c r="A17" s="120"/>
      <c r="C17" s="273"/>
      <c r="D17" s="273"/>
      <c r="E17" s="18" t="s">
        <v>1217</v>
      </c>
      <c r="F17" s="499" t="s">
        <v>365</v>
      </c>
      <c r="G17" s="282" t="s">
        <v>1858</v>
      </c>
      <c r="H17" s="500" t="s">
        <v>78</v>
      </c>
      <c r="I17" s="13" t="s">
        <v>208</v>
      </c>
      <c r="J17" s="16" t="s">
        <v>1546</v>
      </c>
      <c r="K17" s="13" t="s">
        <v>931</v>
      </c>
      <c r="L17" s="501">
        <v>10.57</v>
      </c>
      <c r="M17" s="501">
        <v>10.57</v>
      </c>
      <c r="N17" s="196">
        <v>2</v>
      </c>
      <c r="P17" s="13" t="s">
        <v>268</v>
      </c>
      <c r="Q17" s="13" t="s">
        <v>269</v>
      </c>
      <c r="R17" s="13" t="s">
        <v>460</v>
      </c>
      <c r="S17" s="15" t="s">
        <v>360</v>
      </c>
      <c r="T17" s="18">
        <v>282</v>
      </c>
      <c r="U17" s="18">
        <v>700</v>
      </c>
      <c r="V17" s="18" t="s">
        <v>100</v>
      </c>
      <c r="W17" s="18">
        <f t="shared" si="1"/>
        <v>491</v>
      </c>
      <c r="X17" s="18"/>
      <c r="Y17" s="18"/>
      <c r="Z17" s="21"/>
    </row>
    <row r="18" spans="1:26">
      <c r="A18" s="120"/>
      <c r="C18" s="273"/>
      <c r="D18" s="273"/>
      <c r="E18" s="18" t="s">
        <v>1217</v>
      </c>
      <c r="F18" s="499" t="s">
        <v>365</v>
      </c>
      <c r="G18" s="282" t="s">
        <v>1858</v>
      </c>
      <c r="H18" s="500" t="s">
        <v>78</v>
      </c>
      <c r="I18" s="13" t="s">
        <v>208</v>
      </c>
      <c r="J18" s="16" t="s">
        <v>1547</v>
      </c>
      <c r="K18" s="13" t="s">
        <v>932</v>
      </c>
      <c r="L18" s="501">
        <v>10.57</v>
      </c>
      <c r="M18" s="501">
        <v>10.57</v>
      </c>
      <c r="N18" s="196">
        <v>2</v>
      </c>
      <c r="P18" s="13" t="s">
        <v>268</v>
      </c>
      <c r="Q18" s="13" t="s">
        <v>269</v>
      </c>
      <c r="R18" s="13" t="s">
        <v>460</v>
      </c>
      <c r="S18" s="15" t="s">
        <v>360</v>
      </c>
      <c r="T18" s="18">
        <v>616</v>
      </c>
      <c r="U18" s="18">
        <v>700</v>
      </c>
      <c r="V18" s="18" t="s">
        <v>100</v>
      </c>
      <c r="W18" s="18">
        <f t="shared" si="1"/>
        <v>658</v>
      </c>
      <c r="X18" s="18"/>
      <c r="Y18" s="18"/>
      <c r="Z18" s="21"/>
    </row>
    <row r="19" spans="1:26">
      <c r="A19" s="120"/>
      <c r="C19" s="273"/>
      <c r="D19" s="273"/>
      <c r="E19" s="18" t="s">
        <v>1217</v>
      </c>
      <c r="F19" s="499" t="s">
        <v>365</v>
      </c>
      <c r="G19" s="282" t="s">
        <v>1858</v>
      </c>
      <c r="H19" s="500" t="s">
        <v>78</v>
      </c>
      <c r="I19" s="13" t="s">
        <v>208</v>
      </c>
      <c r="J19" s="16" t="s">
        <v>1548</v>
      </c>
      <c r="K19" s="13" t="s">
        <v>933</v>
      </c>
      <c r="L19" s="501">
        <v>10.57</v>
      </c>
      <c r="M19" s="501">
        <v>10.57</v>
      </c>
      <c r="N19" s="196">
        <v>2</v>
      </c>
      <c r="P19" s="13" t="s">
        <v>268</v>
      </c>
      <c r="Q19" s="13" t="s">
        <v>269</v>
      </c>
      <c r="R19" s="13" t="s">
        <v>460</v>
      </c>
      <c r="S19" s="15" t="s">
        <v>360</v>
      </c>
      <c r="T19" s="18">
        <v>0</v>
      </c>
      <c r="U19" s="18"/>
      <c r="V19" s="18"/>
      <c r="W19" s="18">
        <f t="shared" si="1"/>
        <v>0</v>
      </c>
      <c r="X19" s="18"/>
      <c r="Y19" s="18"/>
      <c r="Z19" s="21"/>
    </row>
    <row r="20" spans="1:26">
      <c r="A20" s="120"/>
      <c r="C20" s="273"/>
      <c r="D20" s="273"/>
      <c r="E20" s="18" t="s">
        <v>1217</v>
      </c>
      <c r="F20" s="499" t="s">
        <v>365</v>
      </c>
      <c r="G20" s="282" t="s">
        <v>1858</v>
      </c>
      <c r="H20" s="500" t="s">
        <v>78</v>
      </c>
      <c r="I20" s="13" t="s">
        <v>208</v>
      </c>
      <c r="J20" s="16" t="s">
        <v>1549</v>
      </c>
      <c r="K20" s="13" t="s">
        <v>934</v>
      </c>
      <c r="L20" s="163">
        <v>10.57</v>
      </c>
      <c r="M20" s="163">
        <v>10.57</v>
      </c>
      <c r="N20" s="196">
        <v>2</v>
      </c>
      <c r="P20" s="13" t="s">
        <v>268</v>
      </c>
      <c r="Q20" s="13" t="s">
        <v>269</v>
      </c>
      <c r="R20" s="13" t="s">
        <v>460</v>
      </c>
      <c r="S20" s="15" t="s">
        <v>360</v>
      </c>
      <c r="T20" s="18">
        <v>533</v>
      </c>
      <c r="U20" s="18">
        <v>614</v>
      </c>
      <c r="V20" s="18">
        <f>SUM(T20+U20)/2</f>
        <v>573.5</v>
      </c>
      <c r="W20" s="18">
        <f t="shared" si="1"/>
        <v>573.5</v>
      </c>
      <c r="X20" s="18"/>
      <c r="Y20" s="18"/>
      <c r="Z20" s="21"/>
    </row>
    <row r="21" spans="1:26">
      <c r="A21" s="120"/>
      <c r="C21" s="273"/>
      <c r="D21" s="273"/>
      <c r="E21" s="18" t="s">
        <v>1217</v>
      </c>
      <c r="F21" s="499" t="s">
        <v>365</v>
      </c>
      <c r="G21" s="282" t="s">
        <v>1858</v>
      </c>
      <c r="H21" s="500" t="s">
        <v>78</v>
      </c>
      <c r="I21" s="13" t="s">
        <v>208</v>
      </c>
      <c r="J21" s="16" t="s">
        <v>1550</v>
      </c>
      <c r="K21" s="13" t="s">
        <v>935</v>
      </c>
      <c r="L21" s="501">
        <v>10.57</v>
      </c>
      <c r="M21" s="501">
        <v>10.57</v>
      </c>
      <c r="N21" s="196">
        <v>2</v>
      </c>
      <c r="P21" s="13" t="s">
        <v>268</v>
      </c>
      <c r="Q21" s="13" t="s">
        <v>269</v>
      </c>
      <c r="R21" s="13" t="s">
        <v>460</v>
      </c>
      <c r="S21" s="15" t="s">
        <v>360</v>
      </c>
      <c r="T21" s="18">
        <v>0</v>
      </c>
      <c r="U21" s="18">
        <f>T21</f>
        <v>0</v>
      </c>
      <c r="V21" s="18">
        <f>T21</f>
        <v>0</v>
      </c>
      <c r="W21" s="18">
        <f t="shared" si="1"/>
        <v>0</v>
      </c>
      <c r="X21" s="18"/>
      <c r="Y21" s="18"/>
      <c r="Z21" s="21"/>
    </row>
    <row r="22" spans="1:26">
      <c r="A22" s="120"/>
      <c r="C22" s="273"/>
      <c r="D22" s="273"/>
      <c r="E22" s="18" t="s">
        <v>1217</v>
      </c>
      <c r="F22" s="499" t="s">
        <v>365</v>
      </c>
      <c r="G22" s="282" t="s">
        <v>1858</v>
      </c>
      <c r="H22" s="500" t="s">
        <v>78</v>
      </c>
      <c r="I22" s="13" t="s">
        <v>208</v>
      </c>
      <c r="J22" s="16" t="s">
        <v>1551</v>
      </c>
      <c r="K22" s="13" t="s">
        <v>936</v>
      </c>
      <c r="L22" s="501">
        <v>10.57</v>
      </c>
      <c r="M22" s="501">
        <v>10.57</v>
      </c>
      <c r="N22" s="196">
        <v>2</v>
      </c>
      <c r="P22" s="13" t="s">
        <v>268</v>
      </c>
      <c r="Q22" s="13" t="s">
        <v>269</v>
      </c>
      <c r="R22" s="13" t="s">
        <v>460</v>
      </c>
      <c r="S22" s="15" t="s">
        <v>360</v>
      </c>
      <c r="T22" s="18">
        <v>0</v>
      </c>
      <c r="U22" s="18">
        <f>T22</f>
        <v>0</v>
      </c>
      <c r="V22" s="18">
        <f>T22</f>
        <v>0</v>
      </c>
      <c r="W22" s="18">
        <f t="shared" si="1"/>
        <v>0</v>
      </c>
      <c r="X22" s="18"/>
      <c r="Y22" s="18"/>
      <c r="Z22" s="21"/>
    </row>
    <row r="23" spans="1:26">
      <c r="A23" s="120"/>
      <c r="C23" s="273"/>
      <c r="D23" s="273"/>
      <c r="E23" s="18" t="s">
        <v>1217</v>
      </c>
      <c r="F23" s="499" t="s">
        <v>365</v>
      </c>
      <c r="G23" s="282" t="s">
        <v>1858</v>
      </c>
      <c r="H23" s="500" t="s">
        <v>78</v>
      </c>
      <c r="I23" s="13" t="s">
        <v>249</v>
      </c>
      <c r="J23" s="16" t="s">
        <v>1552</v>
      </c>
      <c r="K23" s="13" t="s">
        <v>937</v>
      </c>
      <c r="L23" s="501">
        <v>10.57</v>
      </c>
      <c r="M23" s="501">
        <v>10.57</v>
      </c>
      <c r="N23" s="196">
        <v>2</v>
      </c>
      <c r="P23" s="13" t="s">
        <v>268</v>
      </c>
      <c r="Q23" s="13" t="s">
        <v>269</v>
      </c>
      <c r="R23" s="13" t="s">
        <v>460</v>
      </c>
      <c r="S23" s="15" t="s">
        <v>360</v>
      </c>
      <c r="T23" s="18">
        <v>566</v>
      </c>
      <c r="U23" s="18">
        <v>700</v>
      </c>
      <c r="V23" s="18">
        <f>SUM(T23+U23)/2</f>
        <v>633</v>
      </c>
      <c r="W23" s="18">
        <f t="shared" si="1"/>
        <v>633</v>
      </c>
      <c r="X23" s="18"/>
      <c r="Y23" s="18"/>
      <c r="Z23" s="21"/>
    </row>
    <row r="24" spans="1:26">
      <c r="A24" s="120"/>
      <c r="C24" s="273"/>
      <c r="D24" s="273"/>
      <c r="E24" s="18" t="s">
        <v>1217</v>
      </c>
      <c r="F24" s="499" t="s">
        <v>365</v>
      </c>
      <c r="G24" s="282" t="s">
        <v>1858</v>
      </c>
      <c r="H24" s="500" t="s">
        <v>78</v>
      </c>
      <c r="I24" s="13" t="s">
        <v>208</v>
      </c>
      <c r="J24" s="16" t="s">
        <v>1553</v>
      </c>
      <c r="K24" s="13" t="s">
        <v>938</v>
      </c>
      <c r="L24" s="501">
        <v>10.57</v>
      </c>
      <c r="M24" s="501">
        <v>10.57</v>
      </c>
      <c r="N24" s="196">
        <v>2</v>
      </c>
      <c r="P24" s="13" t="s">
        <v>268</v>
      </c>
      <c r="Q24" s="13" t="s">
        <v>269</v>
      </c>
      <c r="R24" s="13" t="s">
        <v>460</v>
      </c>
      <c r="S24" s="15" t="s">
        <v>360</v>
      </c>
      <c r="T24" s="18">
        <v>343</v>
      </c>
      <c r="U24" s="18">
        <v>345</v>
      </c>
      <c r="V24" s="18" t="s">
        <v>100</v>
      </c>
      <c r="W24" s="18">
        <f t="shared" si="1"/>
        <v>344</v>
      </c>
      <c r="X24" s="18"/>
      <c r="Y24" s="18"/>
      <c r="Z24" s="21"/>
    </row>
    <row r="25" spans="1:26">
      <c r="A25" s="120"/>
      <c r="C25" s="273"/>
      <c r="D25" s="273"/>
      <c r="E25" s="18" t="s">
        <v>1217</v>
      </c>
      <c r="F25" s="499" t="s">
        <v>365</v>
      </c>
      <c r="G25" s="282" t="s">
        <v>1858</v>
      </c>
      <c r="H25" s="500" t="s">
        <v>78</v>
      </c>
      <c r="I25" s="13" t="s">
        <v>208</v>
      </c>
      <c r="J25" s="16" t="s">
        <v>1554</v>
      </c>
      <c r="K25" s="13" t="s">
        <v>939</v>
      </c>
      <c r="L25" s="501">
        <v>10.57</v>
      </c>
      <c r="M25" s="501">
        <v>10.57</v>
      </c>
      <c r="N25" s="196">
        <v>2</v>
      </c>
      <c r="P25" s="13" t="s">
        <v>268</v>
      </c>
      <c r="Q25" s="13" t="s">
        <v>269</v>
      </c>
      <c r="R25" s="13" t="s">
        <v>460</v>
      </c>
      <c r="S25" s="15" t="s">
        <v>360</v>
      </c>
      <c r="T25" s="18">
        <v>446</v>
      </c>
      <c r="U25" s="18">
        <v>520</v>
      </c>
      <c r="V25" s="18" t="s">
        <v>100</v>
      </c>
      <c r="W25" s="18">
        <f t="shared" si="1"/>
        <v>483</v>
      </c>
      <c r="X25" s="18"/>
      <c r="Y25" s="18"/>
      <c r="Z25" s="21"/>
    </row>
    <row r="26" spans="1:26">
      <c r="A26" s="120"/>
      <c r="C26" s="273"/>
      <c r="D26" s="273"/>
      <c r="E26" s="18" t="s">
        <v>1217</v>
      </c>
      <c r="F26" s="499" t="s">
        <v>365</v>
      </c>
      <c r="G26" s="282"/>
      <c r="H26" s="500" t="s">
        <v>78</v>
      </c>
      <c r="I26" s="13" t="s">
        <v>192</v>
      </c>
      <c r="J26" s="164" t="s">
        <v>367</v>
      </c>
      <c r="K26" s="76"/>
      <c r="L26" s="76">
        <v>31.37</v>
      </c>
      <c r="M26" s="296">
        <v>31.37</v>
      </c>
      <c r="N26" s="94">
        <v>7</v>
      </c>
      <c r="O26" s="94"/>
      <c r="P26" s="13" t="s">
        <v>572</v>
      </c>
      <c r="Q26" s="13" t="s">
        <v>294</v>
      </c>
      <c r="R26" s="13" t="s">
        <v>463</v>
      </c>
      <c r="S26" s="18" t="s">
        <v>100</v>
      </c>
      <c r="T26" s="18">
        <v>0</v>
      </c>
      <c r="U26" s="18"/>
      <c r="V26" s="18"/>
      <c r="W26" s="18">
        <f t="shared" si="1"/>
        <v>0</v>
      </c>
      <c r="X26" s="18"/>
      <c r="Y26" s="18"/>
      <c r="Z26" s="21"/>
    </row>
    <row r="27" spans="1:26">
      <c r="A27" s="120"/>
      <c r="C27" s="273"/>
      <c r="D27" s="273"/>
      <c r="E27" s="18" t="s">
        <v>1217</v>
      </c>
      <c r="F27" s="499" t="s">
        <v>365</v>
      </c>
      <c r="G27" s="282"/>
      <c r="H27" s="500" t="s">
        <v>78</v>
      </c>
      <c r="I27" s="13" t="s">
        <v>192</v>
      </c>
      <c r="J27" s="164" t="s">
        <v>368</v>
      </c>
      <c r="K27" s="76"/>
      <c r="L27" s="76">
        <v>31.37</v>
      </c>
      <c r="M27" s="296">
        <v>31.37</v>
      </c>
      <c r="N27" s="94">
        <v>5</v>
      </c>
      <c r="O27" s="94"/>
      <c r="P27" s="13" t="s">
        <v>572</v>
      </c>
      <c r="Q27" s="13" t="s">
        <v>294</v>
      </c>
      <c r="R27" s="13" t="s">
        <v>463</v>
      </c>
      <c r="S27" s="18" t="s">
        <v>100</v>
      </c>
      <c r="T27" s="18">
        <v>0</v>
      </c>
      <c r="U27" s="18"/>
      <c r="V27" s="18"/>
      <c r="W27" s="18">
        <f t="shared" si="1"/>
        <v>0</v>
      </c>
      <c r="X27" s="18"/>
      <c r="Y27" s="18"/>
      <c r="Z27" s="21"/>
    </row>
    <row r="28" spans="1:26" ht="15.75" thickBot="1">
      <c r="A28" s="135"/>
      <c r="B28" s="136"/>
      <c r="C28" s="273"/>
      <c r="D28" s="273"/>
      <c r="E28" s="18" t="s">
        <v>1217</v>
      </c>
      <c r="F28" s="499" t="s">
        <v>365</v>
      </c>
      <c r="G28" s="282"/>
      <c r="H28" s="500" t="s">
        <v>78</v>
      </c>
      <c r="I28" s="13" t="s">
        <v>27</v>
      </c>
      <c r="J28" s="164" t="s">
        <v>1397</v>
      </c>
      <c r="K28" s="76"/>
      <c r="L28" s="76">
        <v>2.31</v>
      </c>
      <c r="M28" s="296">
        <v>2.31</v>
      </c>
      <c r="N28" s="94">
        <v>1</v>
      </c>
      <c r="O28" s="94"/>
      <c r="P28" s="13" t="s">
        <v>572</v>
      </c>
      <c r="Q28" s="13" t="s">
        <v>294</v>
      </c>
      <c r="R28" s="13" t="s">
        <v>463</v>
      </c>
      <c r="S28" s="18" t="s">
        <v>100</v>
      </c>
      <c r="T28" s="18">
        <v>0</v>
      </c>
      <c r="U28" s="18"/>
      <c r="V28" s="18"/>
      <c r="W28" s="18">
        <f t="shared" si="1"/>
        <v>0</v>
      </c>
      <c r="X28" s="18"/>
      <c r="Y28" s="18"/>
      <c r="Z28" s="21"/>
    </row>
    <row r="29" spans="1:26">
      <c r="C29" s="273"/>
      <c r="D29" s="273"/>
      <c r="E29" s="18" t="s">
        <v>1217</v>
      </c>
      <c r="F29" s="499" t="s">
        <v>365</v>
      </c>
      <c r="G29" s="282"/>
      <c r="H29" s="500" t="s">
        <v>78</v>
      </c>
      <c r="I29" s="195" t="s">
        <v>1370</v>
      </c>
      <c r="J29" s="164" t="s">
        <v>198</v>
      </c>
      <c r="K29" s="76"/>
      <c r="L29" s="76">
        <v>3.6</v>
      </c>
      <c r="M29" s="296">
        <v>3.6</v>
      </c>
      <c r="N29" s="94">
        <v>0</v>
      </c>
      <c r="O29" s="94"/>
      <c r="P29" s="13" t="s">
        <v>572</v>
      </c>
      <c r="Q29" s="13" t="s">
        <v>294</v>
      </c>
      <c r="R29" s="13" t="s">
        <v>463</v>
      </c>
      <c r="S29" s="18" t="s">
        <v>100</v>
      </c>
      <c r="T29" s="18">
        <v>0</v>
      </c>
      <c r="U29" s="18"/>
      <c r="V29" s="18"/>
      <c r="W29" s="18">
        <f t="shared" si="1"/>
        <v>0</v>
      </c>
      <c r="X29" s="18"/>
      <c r="Y29" s="18"/>
      <c r="Z29" s="21"/>
    </row>
    <row r="30" spans="1:26">
      <c r="C30" s="273"/>
      <c r="D30" s="273"/>
      <c r="E30" s="18" t="s">
        <v>1217</v>
      </c>
      <c r="F30" s="499" t="s">
        <v>365</v>
      </c>
      <c r="G30" s="282"/>
      <c r="H30" s="500" t="s">
        <v>78</v>
      </c>
      <c r="I30" s="13" t="s">
        <v>192</v>
      </c>
      <c r="J30" s="164" t="s">
        <v>369</v>
      </c>
      <c r="K30" s="76"/>
      <c r="L30" s="76">
        <v>1.83</v>
      </c>
      <c r="M30" s="296">
        <v>1.83</v>
      </c>
      <c r="N30" s="94">
        <v>1</v>
      </c>
      <c r="O30" s="94"/>
      <c r="P30" s="13" t="s">
        <v>572</v>
      </c>
      <c r="Q30" s="13" t="s">
        <v>294</v>
      </c>
      <c r="R30" s="13" t="s">
        <v>463</v>
      </c>
      <c r="S30" s="18" t="s">
        <v>100</v>
      </c>
      <c r="T30" s="18">
        <v>0</v>
      </c>
      <c r="U30" s="18"/>
      <c r="V30" s="18"/>
      <c r="W30" s="18">
        <f t="shared" si="1"/>
        <v>0</v>
      </c>
      <c r="X30" s="18"/>
      <c r="Y30" s="18"/>
      <c r="Z30" s="21"/>
    </row>
    <row r="31" spans="1:26">
      <c r="C31" s="273"/>
      <c r="D31" s="273"/>
      <c r="E31" s="18" t="s">
        <v>1217</v>
      </c>
      <c r="F31" s="499" t="s">
        <v>365</v>
      </c>
      <c r="G31" s="282"/>
      <c r="H31" s="500" t="s">
        <v>78</v>
      </c>
      <c r="I31" s="13" t="s">
        <v>192</v>
      </c>
      <c r="J31" s="164" t="s">
        <v>369</v>
      </c>
      <c r="K31" s="76"/>
      <c r="L31" s="76">
        <v>1.83</v>
      </c>
      <c r="M31" s="296">
        <v>1.83</v>
      </c>
      <c r="N31" s="94">
        <v>1</v>
      </c>
      <c r="O31" s="94"/>
      <c r="P31" s="13" t="s">
        <v>572</v>
      </c>
      <c r="Q31" s="13" t="s">
        <v>294</v>
      </c>
      <c r="R31" s="13" t="s">
        <v>463</v>
      </c>
      <c r="S31" s="18" t="s">
        <v>100</v>
      </c>
      <c r="T31" s="18">
        <v>0</v>
      </c>
      <c r="U31" s="18"/>
      <c r="V31" s="18"/>
      <c r="W31" s="18">
        <f t="shared" si="1"/>
        <v>0</v>
      </c>
      <c r="X31" s="18"/>
      <c r="Y31" s="18"/>
      <c r="Z31" s="21"/>
    </row>
    <row r="32" spans="1:26">
      <c r="C32" s="273"/>
      <c r="D32" s="273"/>
      <c r="E32" s="18" t="s">
        <v>1217</v>
      </c>
      <c r="F32" s="499" t="s">
        <v>365</v>
      </c>
      <c r="G32" s="282" t="s">
        <v>388</v>
      </c>
      <c r="H32" s="500" t="s">
        <v>370</v>
      </c>
      <c r="I32" s="13" t="s">
        <v>248</v>
      </c>
      <c r="J32" s="34" t="s">
        <v>516</v>
      </c>
      <c r="K32" s="13" t="s">
        <v>940</v>
      </c>
      <c r="L32" s="501">
        <v>66.62</v>
      </c>
      <c r="M32" s="501">
        <v>66.62</v>
      </c>
      <c r="N32" s="196">
        <v>50</v>
      </c>
      <c r="P32" s="13" t="s">
        <v>268</v>
      </c>
      <c r="Q32" s="13" t="s">
        <v>269</v>
      </c>
      <c r="R32" s="13" t="s">
        <v>460</v>
      </c>
      <c r="S32" s="15" t="s">
        <v>360</v>
      </c>
      <c r="T32" s="18">
        <v>0</v>
      </c>
      <c r="U32" s="18"/>
      <c r="V32" s="18"/>
      <c r="W32" s="18">
        <f t="shared" si="1"/>
        <v>0</v>
      </c>
      <c r="X32" s="18"/>
      <c r="Y32" s="18"/>
      <c r="Z32" s="21"/>
    </row>
    <row r="33" spans="3:26">
      <c r="C33" s="273"/>
      <c r="D33" s="273"/>
      <c r="E33" s="18" t="s">
        <v>1217</v>
      </c>
      <c r="F33" s="499" t="s">
        <v>365</v>
      </c>
      <c r="G33" s="282" t="s">
        <v>388</v>
      </c>
      <c r="H33" s="500" t="s">
        <v>370</v>
      </c>
      <c r="I33" s="13" t="s">
        <v>248</v>
      </c>
      <c r="J33" s="34" t="s">
        <v>516</v>
      </c>
      <c r="K33" s="13" t="s">
        <v>941</v>
      </c>
      <c r="L33" s="501">
        <v>66.62</v>
      </c>
      <c r="M33" s="501">
        <v>66.62</v>
      </c>
      <c r="N33" s="196">
        <v>50</v>
      </c>
      <c r="P33" s="13" t="s">
        <v>268</v>
      </c>
      <c r="Q33" s="13" t="s">
        <v>269</v>
      </c>
      <c r="R33" s="13" t="s">
        <v>460</v>
      </c>
      <c r="S33" s="15" t="s">
        <v>360</v>
      </c>
      <c r="T33" s="18">
        <v>0</v>
      </c>
      <c r="U33" s="18"/>
      <c r="V33" s="18"/>
      <c r="W33" s="18">
        <f t="shared" si="1"/>
        <v>0</v>
      </c>
      <c r="X33" s="18"/>
      <c r="Y33" s="18"/>
      <c r="Z33" s="21"/>
    </row>
    <row r="34" spans="3:26">
      <c r="C34" s="273"/>
      <c r="D34" s="273"/>
      <c r="E34" s="18" t="s">
        <v>1217</v>
      </c>
      <c r="F34" s="499" t="s">
        <v>365</v>
      </c>
      <c r="G34" s="282" t="s">
        <v>388</v>
      </c>
      <c r="H34" s="500" t="s">
        <v>370</v>
      </c>
      <c r="I34" s="13" t="s">
        <v>248</v>
      </c>
      <c r="J34" s="34" t="s">
        <v>516</v>
      </c>
      <c r="K34" s="13" t="s">
        <v>942</v>
      </c>
      <c r="L34" s="501">
        <v>66.62</v>
      </c>
      <c r="M34" s="501">
        <v>66.62</v>
      </c>
      <c r="N34" s="196">
        <v>50</v>
      </c>
      <c r="P34" s="13" t="s">
        <v>268</v>
      </c>
      <c r="Q34" s="13" t="s">
        <v>269</v>
      </c>
      <c r="R34" s="13" t="s">
        <v>460</v>
      </c>
      <c r="S34" s="15" t="s">
        <v>360</v>
      </c>
      <c r="T34" s="18">
        <v>0</v>
      </c>
      <c r="U34" s="18"/>
      <c r="V34" s="18"/>
      <c r="W34" s="18">
        <f t="shared" si="1"/>
        <v>0</v>
      </c>
      <c r="X34" s="18"/>
      <c r="Y34" s="18"/>
      <c r="Z34" s="21"/>
    </row>
    <row r="35" spans="3:26">
      <c r="C35" s="273"/>
      <c r="D35" s="273"/>
      <c r="E35" s="18" t="s">
        <v>1217</v>
      </c>
      <c r="F35" s="499" t="s">
        <v>365</v>
      </c>
      <c r="G35" s="282" t="s">
        <v>388</v>
      </c>
      <c r="H35" s="500" t="s">
        <v>370</v>
      </c>
      <c r="I35" s="13" t="s">
        <v>248</v>
      </c>
      <c r="J35" s="34" t="s">
        <v>516</v>
      </c>
      <c r="K35" s="13" t="s">
        <v>943</v>
      </c>
      <c r="L35" s="16">
        <v>32.950000000000003</v>
      </c>
      <c r="M35" s="16">
        <v>32.950000000000003</v>
      </c>
      <c r="N35" s="196">
        <v>25</v>
      </c>
      <c r="P35" s="13" t="s">
        <v>268</v>
      </c>
      <c r="Q35" s="13" t="s">
        <v>269</v>
      </c>
      <c r="R35" s="13" t="s">
        <v>460</v>
      </c>
      <c r="S35" s="15" t="s">
        <v>360</v>
      </c>
      <c r="T35" s="18">
        <v>0</v>
      </c>
      <c r="U35" s="18"/>
      <c r="V35" s="18"/>
      <c r="W35" s="18">
        <f t="shared" si="1"/>
        <v>0</v>
      </c>
      <c r="X35" s="18"/>
      <c r="Y35" s="18"/>
      <c r="Z35" s="21"/>
    </row>
    <row r="36" spans="3:26">
      <c r="C36" s="273"/>
      <c r="D36" s="273"/>
      <c r="E36" s="18" t="s">
        <v>1217</v>
      </c>
      <c r="F36" s="499" t="s">
        <v>365</v>
      </c>
      <c r="G36" s="282" t="s">
        <v>388</v>
      </c>
      <c r="H36" s="500" t="s">
        <v>370</v>
      </c>
      <c r="I36" s="13" t="s">
        <v>248</v>
      </c>
      <c r="J36" s="34" t="s">
        <v>516</v>
      </c>
      <c r="K36" s="13" t="s">
        <v>944</v>
      </c>
      <c r="L36" s="16">
        <v>32.85</v>
      </c>
      <c r="M36" s="16">
        <v>32.85</v>
      </c>
      <c r="N36" s="196">
        <v>25</v>
      </c>
      <c r="P36" s="13" t="s">
        <v>268</v>
      </c>
      <c r="Q36" s="13" t="s">
        <v>269</v>
      </c>
      <c r="R36" s="13" t="s">
        <v>460</v>
      </c>
      <c r="S36" s="15" t="s">
        <v>360</v>
      </c>
      <c r="T36" s="18">
        <v>0</v>
      </c>
      <c r="U36" s="18"/>
      <c r="V36" s="18"/>
      <c r="W36" s="18">
        <f t="shared" si="1"/>
        <v>0</v>
      </c>
      <c r="X36" s="18"/>
      <c r="Y36" s="18"/>
      <c r="Z36" s="21"/>
    </row>
    <row r="37" spans="3:26" ht="15" customHeight="1">
      <c r="C37" s="273"/>
      <c r="D37" s="273"/>
      <c r="E37" s="18" t="s">
        <v>1217</v>
      </c>
      <c r="F37" s="499" t="s">
        <v>365</v>
      </c>
      <c r="G37" s="282" t="s">
        <v>1858</v>
      </c>
      <c r="H37" s="500" t="s">
        <v>370</v>
      </c>
      <c r="I37" s="13" t="s">
        <v>208</v>
      </c>
      <c r="J37" s="34" t="s">
        <v>1555</v>
      </c>
      <c r="K37" s="13" t="s">
        <v>945</v>
      </c>
      <c r="L37" s="501">
        <v>10.57</v>
      </c>
      <c r="M37" s="501">
        <v>10.57</v>
      </c>
      <c r="P37" s="13" t="s">
        <v>268</v>
      </c>
      <c r="S37" s="15"/>
      <c r="T37" s="18"/>
      <c r="U37" s="18"/>
      <c r="V37" s="18"/>
      <c r="W37" s="18"/>
      <c r="X37" s="18"/>
      <c r="Y37" s="18"/>
      <c r="Z37" s="21"/>
    </row>
    <row r="38" spans="3:26">
      <c r="C38" s="273"/>
      <c r="D38" s="273"/>
      <c r="E38" s="18" t="s">
        <v>1217</v>
      </c>
      <c r="F38" s="499" t="s">
        <v>365</v>
      </c>
      <c r="G38" s="282" t="s">
        <v>1858</v>
      </c>
      <c r="H38" s="500" t="s">
        <v>370</v>
      </c>
      <c r="I38" s="13" t="s">
        <v>208</v>
      </c>
      <c r="J38" s="34" t="s">
        <v>208</v>
      </c>
      <c r="K38" s="13" t="s">
        <v>946</v>
      </c>
      <c r="L38" s="163">
        <v>10.57</v>
      </c>
      <c r="M38" s="163">
        <v>10.57</v>
      </c>
      <c r="N38" s="196">
        <v>4</v>
      </c>
      <c r="P38" s="13" t="s">
        <v>268</v>
      </c>
      <c r="Q38" s="13" t="s">
        <v>269</v>
      </c>
      <c r="R38" s="13" t="s">
        <v>460</v>
      </c>
      <c r="S38" s="15" t="s">
        <v>360</v>
      </c>
      <c r="T38" s="18">
        <v>0</v>
      </c>
      <c r="U38" s="18"/>
      <c r="V38" s="18"/>
      <c r="W38" s="18">
        <f t="shared" si="1"/>
        <v>0</v>
      </c>
      <c r="X38" s="18"/>
      <c r="Y38" s="18"/>
      <c r="Z38" s="21"/>
    </row>
    <row r="39" spans="3:26">
      <c r="C39" s="273"/>
      <c r="D39" s="273"/>
      <c r="E39" s="18" t="s">
        <v>1217</v>
      </c>
      <c r="F39" s="499" t="s">
        <v>365</v>
      </c>
      <c r="G39" s="282" t="s">
        <v>1858</v>
      </c>
      <c r="H39" s="500" t="s">
        <v>370</v>
      </c>
      <c r="I39" s="13" t="s">
        <v>208</v>
      </c>
      <c r="J39" s="16" t="s">
        <v>1556</v>
      </c>
      <c r="K39" s="13" t="s">
        <v>948</v>
      </c>
      <c r="L39" s="163">
        <v>10.57</v>
      </c>
      <c r="M39" s="163">
        <v>10.57</v>
      </c>
      <c r="N39" s="196">
        <v>2</v>
      </c>
      <c r="P39" s="13" t="s">
        <v>268</v>
      </c>
      <c r="Q39" s="13" t="s">
        <v>269</v>
      </c>
      <c r="R39" s="13" t="s">
        <v>460</v>
      </c>
      <c r="S39" s="15" t="s">
        <v>360</v>
      </c>
      <c r="T39" s="18">
        <v>0</v>
      </c>
      <c r="U39" s="18"/>
      <c r="V39" s="18"/>
      <c r="W39" s="18">
        <f t="shared" si="1"/>
        <v>0</v>
      </c>
      <c r="X39" s="18"/>
      <c r="Y39" s="18"/>
      <c r="Z39" s="21"/>
    </row>
    <row r="40" spans="3:26">
      <c r="C40" s="273"/>
      <c r="D40" s="273"/>
      <c r="E40" s="18" t="s">
        <v>1217</v>
      </c>
      <c r="F40" s="499" t="s">
        <v>365</v>
      </c>
      <c r="G40" s="282" t="s">
        <v>1858</v>
      </c>
      <c r="H40" s="500" t="s">
        <v>370</v>
      </c>
      <c r="I40" s="13" t="s">
        <v>208</v>
      </c>
      <c r="J40" s="16" t="s">
        <v>1557</v>
      </c>
      <c r="K40" s="13" t="s">
        <v>947</v>
      </c>
      <c r="L40" s="163">
        <v>10.57</v>
      </c>
      <c r="M40" s="163">
        <v>10.57</v>
      </c>
      <c r="N40" s="196">
        <v>2</v>
      </c>
      <c r="P40" s="13" t="s">
        <v>268</v>
      </c>
      <c r="Q40" s="13" t="s">
        <v>269</v>
      </c>
      <c r="R40" s="13" t="s">
        <v>460</v>
      </c>
      <c r="S40" s="15" t="s">
        <v>360</v>
      </c>
      <c r="T40" s="18">
        <v>0</v>
      </c>
      <c r="U40" s="18"/>
      <c r="V40" s="18"/>
      <c r="W40" s="18">
        <f t="shared" si="1"/>
        <v>0</v>
      </c>
      <c r="X40" s="18"/>
      <c r="Y40" s="18"/>
      <c r="Z40" s="21"/>
    </row>
    <row r="41" spans="3:26" ht="15" customHeight="1">
      <c r="C41" s="273"/>
      <c r="D41" s="273"/>
      <c r="E41" s="18" t="s">
        <v>1217</v>
      </c>
      <c r="F41" s="499" t="s">
        <v>365</v>
      </c>
      <c r="G41" s="282" t="s">
        <v>1858</v>
      </c>
      <c r="H41" s="500" t="s">
        <v>370</v>
      </c>
      <c r="I41" s="34" t="s">
        <v>208</v>
      </c>
      <c r="J41" s="16" t="s">
        <v>1558</v>
      </c>
      <c r="K41" s="13" t="s">
        <v>949</v>
      </c>
      <c r="L41" s="163">
        <v>10.57</v>
      </c>
      <c r="M41" s="163">
        <v>10.57</v>
      </c>
      <c r="P41" s="13" t="s">
        <v>268</v>
      </c>
      <c r="S41" s="15"/>
      <c r="T41" s="18"/>
      <c r="U41" s="18"/>
      <c r="V41" s="18"/>
      <c r="W41" s="18"/>
      <c r="X41" s="18"/>
      <c r="Y41" s="18"/>
      <c r="Z41" s="21"/>
    </row>
    <row r="42" spans="3:26">
      <c r="C42" s="273"/>
      <c r="D42" s="273"/>
      <c r="E42" s="18" t="s">
        <v>1217</v>
      </c>
      <c r="F42" s="499" t="s">
        <v>365</v>
      </c>
      <c r="G42" s="282" t="s">
        <v>1858</v>
      </c>
      <c r="H42" s="500" t="s">
        <v>370</v>
      </c>
      <c r="I42" s="34" t="s">
        <v>208</v>
      </c>
      <c r="J42" s="34" t="s">
        <v>208</v>
      </c>
      <c r="K42" s="13" t="s">
        <v>950</v>
      </c>
      <c r="L42" s="163">
        <v>10.57</v>
      </c>
      <c r="M42" s="163">
        <v>10.57</v>
      </c>
      <c r="N42" s="196">
        <v>4</v>
      </c>
      <c r="P42" s="13" t="s">
        <v>268</v>
      </c>
      <c r="Q42" s="13" t="s">
        <v>269</v>
      </c>
      <c r="R42" s="13" t="s">
        <v>460</v>
      </c>
      <c r="S42" s="15" t="s">
        <v>360</v>
      </c>
      <c r="T42" s="18">
        <v>0</v>
      </c>
      <c r="U42" s="18"/>
      <c r="V42" s="18"/>
      <c r="W42" s="18">
        <f t="shared" si="1"/>
        <v>0</v>
      </c>
      <c r="X42" s="18"/>
      <c r="Y42" s="18"/>
      <c r="Z42" s="21"/>
    </row>
    <row r="43" spans="3:26" ht="15" customHeight="1">
      <c r="C43" s="273"/>
      <c r="D43" s="273"/>
      <c r="E43" s="18" t="s">
        <v>1217</v>
      </c>
      <c r="F43" s="499" t="s">
        <v>365</v>
      </c>
      <c r="G43" s="282" t="s">
        <v>1858</v>
      </c>
      <c r="H43" s="500" t="s">
        <v>370</v>
      </c>
      <c r="I43" s="34" t="s">
        <v>208</v>
      </c>
      <c r="J43" s="16" t="s">
        <v>1559</v>
      </c>
      <c r="K43" s="13" t="s">
        <v>951</v>
      </c>
      <c r="L43" s="163">
        <v>10.57</v>
      </c>
      <c r="M43" s="163">
        <v>10.57</v>
      </c>
      <c r="P43" s="13" t="s">
        <v>268</v>
      </c>
      <c r="S43" s="15"/>
      <c r="T43" s="18"/>
      <c r="U43" s="18"/>
      <c r="V43" s="18"/>
      <c r="W43" s="18"/>
      <c r="X43" s="18"/>
      <c r="Y43" s="18"/>
      <c r="Z43" s="21"/>
    </row>
    <row r="44" spans="3:26">
      <c r="C44" s="273"/>
      <c r="D44" s="273"/>
      <c r="E44" s="18" t="s">
        <v>1217</v>
      </c>
      <c r="F44" s="499" t="s">
        <v>365</v>
      </c>
      <c r="G44" s="282" t="s">
        <v>1858</v>
      </c>
      <c r="H44" s="500" t="s">
        <v>370</v>
      </c>
      <c r="I44" s="34" t="s">
        <v>208</v>
      </c>
      <c r="J44" s="34" t="s">
        <v>208</v>
      </c>
      <c r="K44" s="13" t="s">
        <v>952</v>
      </c>
      <c r="L44" s="163">
        <v>10.57</v>
      </c>
      <c r="M44" s="163">
        <v>10.57</v>
      </c>
      <c r="N44" s="196">
        <v>5</v>
      </c>
      <c r="P44" s="13" t="s">
        <v>268</v>
      </c>
      <c r="Q44" s="13" t="s">
        <v>269</v>
      </c>
      <c r="R44" s="13" t="s">
        <v>460</v>
      </c>
      <c r="S44" s="15" t="s">
        <v>360</v>
      </c>
      <c r="T44" s="18">
        <v>0</v>
      </c>
      <c r="U44" s="18"/>
      <c r="V44" s="18"/>
      <c r="W44" s="18">
        <f t="shared" si="1"/>
        <v>0</v>
      </c>
      <c r="X44" s="18"/>
      <c r="Y44" s="18"/>
      <c r="Z44" s="21"/>
    </row>
    <row r="45" spans="3:26" ht="15" customHeight="1">
      <c r="C45" s="273"/>
      <c r="D45" s="273"/>
      <c r="E45" s="18" t="s">
        <v>1217</v>
      </c>
      <c r="F45" s="499" t="s">
        <v>365</v>
      </c>
      <c r="G45" s="282" t="s">
        <v>1858</v>
      </c>
      <c r="H45" s="500" t="s">
        <v>370</v>
      </c>
      <c r="I45" s="34" t="s">
        <v>208</v>
      </c>
      <c r="J45" s="16" t="s">
        <v>1560</v>
      </c>
      <c r="K45" s="13" t="s">
        <v>953</v>
      </c>
      <c r="L45" s="163">
        <v>10.57</v>
      </c>
      <c r="M45" s="163">
        <v>10.57</v>
      </c>
      <c r="P45" s="13" t="s">
        <v>268</v>
      </c>
      <c r="S45" s="15"/>
      <c r="T45" s="18"/>
      <c r="U45" s="18"/>
      <c r="V45" s="18"/>
      <c r="W45" s="18"/>
      <c r="X45" s="18"/>
      <c r="Y45" s="18"/>
      <c r="Z45" s="21"/>
    </row>
    <row r="46" spans="3:26">
      <c r="C46" s="273"/>
      <c r="D46" s="273"/>
      <c r="E46" s="18" t="s">
        <v>1217</v>
      </c>
      <c r="F46" s="499" t="s">
        <v>365</v>
      </c>
      <c r="G46" s="282" t="s">
        <v>1858</v>
      </c>
      <c r="H46" s="500" t="s">
        <v>370</v>
      </c>
      <c r="I46" s="34" t="s">
        <v>208</v>
      </c>
      <c r="J46" s="34" t="s">
        <v>208</v>
      </c>
      <c r="K46" s="13" t="s">
        <v>954</v>
      </c>
      <c r="L46" s="163">
        <v>10.57</v>
      </c>
      <c r="M46" s="163">
        <v>10.57</v>
      </c>
      <c r="N46" s="196">
        <v>4</v>
      </c>
      <c r="P46" s="13" t="s">
        <v>268</v>
      </c>
      <c r="Q46" s="13" t="s">
        <v>269</v>
      </c>
      <c r="R46" s="13" t="s">
        <v>460</v>
      </c>
      <c r="S46" s="15" t="s">
        <v>360</v>
      </c>
      <c r="T46" s="18">
        <v>0</v>
      </c>
      <c r="U46" s="18"/>
      <c r="V46" s="18"/>
      <c r="W46" s="18">
        <f t="shared" si="1"/>
        <v>0</v>
      </c>
      <c r="X46" s="18"/>
      <c r="Y46" s="18"/>
      <c r="Z46" s="21"/>
    </row>
    <row r="47" spans="3:26" ht="15" customHeight="1">
      <c r="C47" s="273"/>
      <c r="D47" s="273"/>
      <c r="E47" s="18" t="s">
        <v>1217</v>
      </c>
      <c r="F47" s="499" t="s">
        <v>365</v>
      </c>
      <c r="G47" s="282" t="s">
        <v>1858</v>
      </c>
      <c r="H47" s="500" t="s">
        <v>370</v>
      </c>
      <c r="I47" s="34" t="s">
        <v>208</v>
      </c>
      <c r="J47" s="34" t="s">
        <v>208</v>
      </c>
      <c r="K47" s="13" t="s">
        <v>955</v>
      </c>
      <c r="L47" s="501">
        <v>10.57</v>
      </c>
      <c r="M47" s="501">
        <v>10.57</v>
      </c>
      <c r="N47" s="196">
        <v>7</v>
      </c>
      <c r="P47" s="13" t="s">
        <v>268</v>
      </c>
      <c r="Q47" s="13" t="s">
        <v>269</v>
      </c>
      <c r="R47" s="13" t="s">
        <v>460</v>
      </c>
      <c r="S47" s="15" t="s">
        <v>360</v>
      </c>
      <c r="T47" s="18">
        <v>0</v>
      </c>
      <c r="U47" s="18"/>
      <c r="V47" s="18"/>
      <c r="W47" s="18">
        <f t="shared" si="1"/>
        <v>0</v>
      </c>
      <c r="X47" s="18"/>
      <c r="Y47" s="18"/>
      <c r="Z47" s="21"/>
    </row>
    <row r="48" spans="3:26">
      <c r="C48" s="273"/>
      <c r="D48" s="273"/>
      <c r="E48" s="18" t="s">
        <v>1217</v>
      </c>
      <c r="F48" s="499" t="s">
        <v>365</v>
      </c>
      <c r="G48" s="282" t="s">
        <v>1858</v>
      </c>
      <c r="H48" s="500" t="s">
        <v>370</v>
      </c>
      <c r="I48" s="34" t="s">
        <v>208</v>
      </c>
      <c r="J48" s="34" t="s">
        <v>208</v>
      </c>
      <c r="K48" s="13" t="s">
        <v>956</v>
      </c>
      <c r="L48" s="501">
        <v>10.57</v>
      </c>
      <c r="M48" s="501">
        <v>10.57</v>
      </c>
      <c r="P48" s="13" t="s">
        <v>268</v>
      </c>
      <c r="S48" s="15"/>
      <c r="T48" s="18"/>
      <c r="U48" s="18"/>
      <c r="V48" s="18"/>
      <c r="W48" s="18"/>
      <c r="X48" s="18"/>
      <c r="Y48" s="18"/>
      <c r="Z48" s="21"/>
    </row>
    <row r="49" spans="1:26">
      <c r="C49" s="273"/>
      <c r="D49" s="273"/>
      <c r="E49" s="18" t="s">
        <v>1217</v>
      </c>
      <c r="F49" s="499" t="s">
        <v>365</v>
      </c>
      <c r="G49" s="282" t="s">
        <v>1858</v>
      </c>
      <c r="H49" s="500" t="s">
        <v>370</v>
      </c>
      <c r="I49" s="34" t="s">
        <v>208</v>
      </c>
      <c r="J49" s="34" t="s">
        <v>208</v>
      </c>
      <c r="K49" s="13" t="s">
        <v>957</v>
      </c>
      <c r="L49" s="501">
        <v>10.57</v>
      </c>
      <c r="M49" s="501">
        <v>10.57</v>
      </c>
      <c r="P49" s="13" t="s">
        <v>268</v>
      </c>
      <c r="S49" s="15"/>
      <c r="T49" s="18"/>
      <c r="U49" s="18"/>
      <c r="V49" s="18"/>
      <c r="W49" s="18"/>
      <c r="X49" s="18"/>
      <c r="Y49" s="18"/>
      <c r="Z49" s="21"/>
    </row>
    <row r="50" spans="1:26">
      <c r="C50" s="273"/>
      <c r="D50" s="273"/>
      <c r="E50" s="18" t="s">
        <v>1217</v>
      </c>
      <c r="F50" s="499" t="s">
        <v>365</v>
      </c>
      <c r="G50" s="282" t="s">
        <v>1858</v>
      </c>
      <c r="H50" s="500" t="s">
        <v>370</v>
      </c>
      <c r="I50" s="34" t="s">
        <v>208</v>
      </c>
      <c r="J50" s="34" t="s">
        <v>208</v>
      </c>
      <c r="K50" s="13" t="s">
        <v>958</v>
      </c>
      <c r="L50" s="501">
        <v>10.57</v>
      </c>
      <c r="M50" s="501">
        <v>10.57</v>
      </c>
      <c r="P50" s="13" t="s">
        <v>268</v>
      </c>
      <c r="S50" s="15"/>
      <c r="T50" s="18"/>
      <c r="U50" s="18"/>
      <c r="V50" s="18"/>
      <c r="W50" s="18"/>
      <c r="X50" s="18"/>
      <c r="Y50" s="18"/>
      <c r="Z50" s="21"/>
    </row>
    <row r="51" spans="1:26">
      <c r="C51" s="273"/>
      <c r="D51" s="273"/>
      <c r="E51" s="18" t="s">
        <v>1217</v>
      </c>
      <c r="F51" s="499" t="s">
        <v>365</v>
      </c>
      <c r="G51" s="282"/>
      <c r="H51" s="500" t="s">
        <v>370</v>
      </c>
      <c r="I51" s="13" t="s">
        <v>192</v>
      </c>
      <c r="J51" s="506" t="s">
        <v>367</v>
      </c>
      <c r="K51" s="503"/>
      <c r="L51" s="503">
        <v>31.37</v>
      </c>
      <c r="M51" s="504">
        <v>31.37</v>
      </c>
      <c r="N51" s="505">
        <v>7</v>
      </c>
      <c r="O51" s="505"/>
      <c r="P51" s="13" t="s">
        <v>572</v>
      </c>
      <c r="Q51" s="13" t="s">
        <v>294</v>
      </c>
      <c r="R51" s="13" t="s">
        <v>463</v>
      </c>
      <c r="S51" s="18" t="s">
        <v>100</v>
      </c>
      <c r="T51" s="18">
        <v>0</v>
      </c>
      <c r="U51" s="18"/>
      <c r="V51" s="18"/>
      <c r="W51" s="18">
        <f t="shared" si="1"/>
        <v>0</v>
      </c>
      <c r="X51" s="18"/>
      <c r="Y51" s="18"/>
      <c r="Z51" s="21"/>
    </row>
    <row r="52" spans="1:26">
      <c r="C52" s="273"/>
      <c r="D52" s="273"/>
      <c r="E52" s="18" t="s">
        <v>1217</v>
      </c>
      <c r="F52" s="499" t="s">
        <v>365</v>
      </c>
      <c r="G52" s="282"/>
      <c r="H52" s="500" t="s">
        <v>370</v>
      </c>
      <c r="I52" s="13" t="s">
        <v>192</v>
      </c>
      <c r="J52" s="506" t="s">
        <v>368</v>
      </c>
      <c r="K52" s="503"/>
      <c r="L52" s="503">
        <v>31.37</v>
      </c>
      <c r="M52" s="504">
        <v>31.37</v>
      </c>
      <c r="N52" s="505">
        <v>5</v>
      </c>
      <c r="O52" s="505"/>
      <c r="P52" s="13" t="s">
        <v>572</v>
      </c>
      <c r="Q52" s="13" t="s">
        <v>294</v>
      </c>
      <c r="R52" s="13" t="s">
        <v>463</v>
      </c>
      <c r="S52" s="18" t="s">
        <v>100</v>
      </c>
      <c r="T52" s="18">
        <v>0</v>
      </c>
      <c r="U52" s="18"/>
      <c r="V52" s="18"/>
      <c r="W52" s="18">
        <f t="shared" si="1"/>
        <v>0</v>
      </c>
      <c r="X52" s="18"/>
      <c r="Y52" s="18"/>
      <c r="Z52" s="21"/>
    </row>
    <row r="53" spans="1:26">
      <c r="C53" s="273"/>
      <c r="D53" s="273"/>
      <c r="E53" s="18" t="s">
        <v>1217</v>
      </c>
      <c r="F53" s="499" t="s">
        <v>365</v>
      </c>
      <c r="G53" s="282"/>
      <c r="H53" s="500" t="s">
        <v>370</v>
      </c>
      <c r="I53" s="13" t="s">
        <v>27</v>
      </c>
      <c r="J53" s="506" t="s">
        <v>1397</v>
      </c>
      <c r="K53" s="503"/>
      <c r="L53" s="503">
        <v>2.31</v>
      </c>
      <c r="M53" s="504">
        <v>2.31</v>
      </c>
      <c r="N53" s="505">
        <v>1</v>
      </c>
      <c r="O53" s="505"/>
      <c r="P53" s="13" t="s">
        <v>572</v>
      </c>
      <c r="Q53" s="13" t="s">
        <v>294</v>
      </c>
      <c r="R53" s="13" t="s">
        <v>463</v>
      </c>
      <c r="S53" s="18" t="s">
        <v>100</v>
      </c>
      <c r="T53" s="18">
        <v>0</v>
      </c>
      <c r="U53" s="18"/>
      <c r="V53" s="18"/>
      <c r="W53" s="18">
        <f t="shared" si="1"/>
        <v>0</v>
      </c>
      <c r="X53" s="18"/>
      <c r="Y53" s="18"/>
      <c r="Z53" s="21"/>
    </row>
    <row r="54" spans="1:26">
      <c r="C54" s="273"/>
      <c r="D54" s="273"/>
      <c r="E54" s="18" t="s">
        <v>1217</v>
      </c>
      <c r="F54" s="499" t="s">
        <v>365</v>
      </c>
      <c r="G54" s="282" t="s">
        <v>389</v>
      </c>
      <c r="H54" s="500" t="s">
        <v>370</v>
      </c>
      <c r="I54" s="13" t="s">
        <v>1370</v>
      </c>
      <c r="J54" s="75" t="s">
        <v>198</v>
      </c>
      <c r="K54" s="76"/>
      <c r="L54" s="76">
        <v>3.6</v>
      </c>
      <c r="M54" s="296">
        <v>3.6</v>
      </c>
      <c r="N54" s="94">
        <v>0</v>
      </c>
      <c r="O54" s="94"/>
      <c r="P54" s="13" t="s">
        <v>572</v>
      </c>
      <c r="Q54" s="13" t="s">
        <v>294</v>
      </c>
      <c r="R54" s="13" t="s">
        <v>463</v>
      </c>
      <c r="S54" s="18" t="s">
        <v>100</v>
      </c>
      <c r="T54" s="18">
        <v>0</v>
      </c>
      <c r="U54" s="18"/>
      <c r="V54" s="18"/>
      <c r="W54" s="18">
        <f t="shared" si="1"/>
        <v>0</v>
      </c>
      <c r="X54" s="18"/>
      <c r="Y54" s="18"/>
      <c r="Z54" s="21"/>
    </row>
    <row r="55" spans="1:26">
      <c r="C55" s="273"/>
      <c r="D55" s="273"/>
      <c r="E55" s="18" t="s">
        <v>1217</v>
      </c>
      <c r="F55" s="499" t="s">
        <v>365</v>
      </c>
      <c r="G55" s="282"/>
      <c r="H55" s="500" t="s">
        <v>370</v>
      </c>
      <c r="I55" s="13" t="s">
        <v>192</v>
      </c>
      <c r="J55" s="506" t="s">
        <v>369</v>
      </c>
      <c r="K55" s="503"/>
      <c r="L55" s="503">
        <v>1.83</v>
      </c>
      <c r="M55" s="504">
        <v>1.83</v>
      </c>
      <c r="N55" s="505">
        <v>1</v>
      </c>
      <c r="O55" s="505"/>
      <c r="P55" s="13" t="s">
        <v>572</v>
      </c>
      <c r="Q55" s="13" t="s">
        <v>294</v>
      </c>
      <c r="R55" s="13" t="s">
        <v>463</v>
      </c>
      <c r="S55" s="18" t="s">
        <v>100</v>
      </c>
      <c r="T55" s="18">
        <v>0</v>
      </c>
      <c r="U55" s="18"/>
      <c r="V55" s="18"/>
      <c r="W55" s="18">
        <f t="shared" si="1"/>
        <v>0</v>
      </c>
      <c r="X55" s="18"/>
      <c r="Y55" s="18"/>
      <c r="Z55" s="21"/>
    </row>
    <row r="56" spans="1:26">
      <c r="C56" s="273"/>
      <c r="D56" s="273"/>
      <c r="E56" s="18" t="s">
        <v>1217</v>
      </c>
      <c r="F56" s="499" t="s">
        <v>365</v>
      </c>
      <c r="G56" s="282"/>
      <c r="H56" s="500" t="s">
        <v>370</v>
      </c>
      <c r="I56" s="13" t="s">
        <v>192</v>
      </c>
      <c r="J56" s="506" t="s">
        <v>369</v>
      </c>
      <c r="K56" s="503"/>
      <c r="L56" s="503">
        <v>1.83</v>
      </c>
      <c r="M56" s="504">
        <v>1.83</v>
      </c>
      <c r="N56" s="505">
        <v>1</v>
      </c>
      <c r="O56" s="505"/>
      <c r="P56" s="13" t="s">
        <v>572</v>
      </c>
      <c r="Q56" s="13" t="s">
        <v>294</v>
      </c>
      <c r="R56" s="13" t="s">
        <v>463</v>
      </c>
      <c r="S56" s="18" t="s">
        <v>100</v>
      </c>
      <c r="T56" s="18">
        <v>0</v>
      </c>
      <c r="U56" s="18"/>
      <c r="V56" s="18"/>
      <c r="W56" s="18">
        <f t="shared" si="1"/>
        <v>0</v>
      </c>
      <c r="X56" s="18"/>
      <c r="Y56" s="18"/>
      <c r="Z56" s="21"/>
    </row>
    <row r="57" spans="1:26">
      <c r="C57" s="273"/>
      <c r="D57" s="273"/>
      <c r="E57" s="18" t="s">
        <v>1217</v>
      </c>
      <c r="F57" s="499" t="s">
        <v>365</v>
      </c>
      <c r="G57" s="282" t="s">
        <v>389</v>
      </c>
      <c r="H57" s="500" t="s">
        <v>370</v>
      </c>
      <c r="I57" s="13" t="s">
        <v>1371</v>
      </c>
      <c r="J57" s="164" t="s">
        <v>1875</v>
      </c>
      <c r="K57" s="76"/>
      <c r="L57" s="76">
        <v>12.87</v>
      </c>
      <c r="M57" s="296">
        <v>12.87</v>
      </c>
      <c r="N57" s="94">
        <v>0</v>
      </c>
      <c r="O57" s="94"/>
      <c r="P57" s="13" t="s">
        <v>572</v>
      </c>
      <c r="Q57" s="13" t="s">
        <v>294</v>
      </c>
      <c r="R57" s="13" t="s">
        <v>463</v>
      </c>
      <c r="S57" s="18" t="s">
        <v>100</v>
      </c>
      <c r="T57" s="18">
        <v>0</v>
      </c>
      <c r="U57" s="18"/>
      <c r="V57" s="18"/>
      <c r="W57" s="18">
        <f t="shared" si="1"/>
        <v>0</v>
      </c>
      <c r="X57" s="18"/>
      <c r="Y57" s="18"/>
      <c r="Z57" s="21"/>
    </row>
    <row r="58" spans="1:26">
      <c r="A58">
        <f>SUM(L4:L58)</f>
        <v>1294.9200000000008</v>
      </c>
      <c r="C58" s="274"/>
      <c r="D58" s="274"/>
      <c r="E58" s="18" t="s">
        <v>1217</v>
      </c>
      <c r="F58" s="499" t="s">
        <v>365</v>
      </c>
      <c r="G58" s="282"/>
      <c r="H58" s="500" t="s">
        <v>370</v>
      </c>
      <c r="I58" s="39" t="s">
        <v>194</v>
      </c>
      <c r="J58" s="507" t="s">
        <v>461</v>
      </c>
      <c r="K58" s="507"/>
      <c r="L58" s="503">
        <v>294.88</v>
      </c>
      <c r="M58" s="504">
        <v>294.88</v>
      </c>
      <c r="N58" s="505">
        <v>0</v>
      </c>
      <c r="O58" s="505"/>
      <c r="P58" s="13" t="s">
        <v>268</v>
      </c>
      <c r="Q58" s="13" t="s">
        <v>269</v>
      </c>
      <c r="R58" s="13" t="s">
        <v>460</v>
      </c>
      <c r="S58" s="15" t="s">
        <v>360</v>
      </c>
      <c r="T58" s="18">
        <v>0</v>
      </c>
      <c r="U58" s="18"/>
      <c r="V58" s="18"/>
      <c r="W58" s="18">
        <f t="shared" si="1"/>
        <v>0</v>
      </c>
      <c r="X58" s="18"/>
      <c r="Y58" s="18"/>
      <c r="Z58" s="21"/>
    </row>
    <row r="59" spans="1:26">
      <c r="C59" s="266"/>
      <c r="D59" s="266"/>
      <c r="E59" s="18" t="s">
        <v>1217</v>
      </c>
      <c r="F59" s="508" t="s">
        <v>251</v>
      </c>
      <c r="G59" s="283" t="s">
        <v>1860</v>
      </c>
      <c r="H59" s="500" t="s">
        <v>77</v>
      </c>
      <c r="I59" s="13" t="s">
        <v>249</v>
      </c>
      <c r="J59" s="16" t="s">
        <v>2524</v>
      </c>
      <c r="K59" s="13" t="s">
        <v>969</v>
      </c>
      <c r="L59" s="32">
        <v>26.78</v>
      </c>
      <c r="M59" s="32">
        <v>26.78</v>
      </c>
      <c r="N59" s="196">
        <v>6</v>
      </c>
      <c r="P59" s="13" t="s">
        <v>268</v>
      </c>
      <c r="Q59" s="13" t="s">
        <v>572</v>
      </c>
      <c r="R59" s="13" t="s">
        <v>269</v>
      </c>
      <c r="S59" s="18" t="s">
        <v>100</v>
      </c>
      <c r="T59" s="18">
        <v>0</v>
      </c>
      <c r="U59" s="18"/>
      <c r="V59" s="18"/>
      <c r="W59" s="18">
        <f t="shared" ref="W59:W65" si="2">AVERAGE(T59:V59)</f>
        <v>0</v>
      </c>
      <c r="X59" s="18"/>
      <c r="Y59" s="18"/>
      <c r="Z59" s="18"/>
    </row>
    <row r="60" spans="1:26">
      <c r="C60" s="266"/>
      <c r="D60" s="266"/>
      <c r="E60" s="18" t="s">
        <v>1217</v>
      </c>
      <c r="F60" s="508" t="s">
        <v>251</v>
      </c>
      <c r="G60" s="283" t="s">
        <v>1858</v>
      </c>
      <c r="H60" s="500" t="s">
        <v>77</v>
      </c>
      <c r="I60" s="13" t="s">
        <v>593</v>
      </c>
      <c r="J60" s="34" t="s">
        <v>965</v>
      </c>
      <c r="K60" s="13" t="s">
        <v>966</v>
      </c>
      <c r="L60" s="32">
        <v>66.34</v>
      </c>
      <c r="M60" s="32">
        <v>66.34</v>
      </c>
      <c r="N60" s="196">
        <v>25</v>
      </c>
      <c r="P60" s="13" t="s">
        <v>268</v>
      </c>
      <c r="Q60" s="13" t="s">
        <v>269</v>
      </c>
      <c r="R60" s="13" t="s">
        <v>269</v>
      </c>
      <c r="S60" s="15" t="s">
        <v>360</v>
      </c>
      <c r="T60" s="18">
        <v>0</v>
      </c>
      <c r="U60" s="18"/>
      <c r="V60" s="18"/>
      <c r="W60" s="18">
        <f t="shared" si="2"/>
        <v>0</v>
      </c>
      <c r="X60" s="18"/>
      <c r="Y60" s="18"/>
      <c r="Z60" s="18"/>
    </row>
    <row r="61" spans="1:26" ht="30">
      <c r="C61" s="266"/>
      <c r="D61" s="266"/>
      <c r="E61" s="18" t="s">
        <v>1217</v>
      </c>
      <c r="F61" s="508" t="s">
        <v>251</v>
      </c>
      <c r="G61" s="283" t="s">
        <v>1858</v>
      </c>
      <c r="H61" s="500" t="s">
        <v>77</v>
      </c>
      <c r="I61" s="13" t="s">
        <v>208</v>
      </c>
      <c r="J61" s="75" t="s">
        <v>1866</v>
      </c>
      <c r="K61" s="13" t="s">
        <v>1867</v>
      </c>
      <c r="L61" s="161">
        <v>16.04</v>
      </c>
      <c r="M61" s="161">
        <v>16.04</v>
      </c>
      <c r="N61" s="94">
        <v>0</v>
      </c>
      <c r="O61" s="94"/>
      <c r="P61" s="13" t="s">
        <v>268</v>
      </c>
      <c r="Q61" s="13" t="s">
        <v>269</v>
      </c>
      <c r="R61" s="13" t="s">
        <v>269</v>
      </c>
      <c r="S61" s="15" t="s">
        <v>360</v>
      </c>
      <c r="T61" s="18">
        <v>0</v>
      </c>
      <c r="U61" s="18"/>
      <c r="V61" s="18"/>
      <c r="W61" s="18">
        <f t="shared" si="2"/>
        <v>0</v>
      </c>
      <c r="X61" s="18"/>
      <c r="Y61" s="18"/>
      <c r="Z61" s="18"/>
    </row>
    <row r="62" spans="1:26">
      <c r="C62" s="266"/>
      <c r="D62" s="266"/>
      <c r="E62" s="18" t="s">
        <v>1217</v>
      </c>
      <c r="F62" s="508" t="s">
        <v>251</v>
      </c>
      <c r="G62" s="283" t="s">
        <v>1858</v>
      </c>
      <c r="H62" s="500" t="s">
        <v>77</v>
      </c>
      <c r="I62" s="13" t="s">
        <v>208</v>
      </c>
      <c r="J62" s="16" t="s">
        <v>1566</v>
      </c>
      <c r="K62" s="13" t="s">
        <v>967</v>
      </c>
      <c r="L62" s="92">
        <v>16.04</v>
      </c>
      <c r="M62" s="32">
        <v>16.04</v>
      </c>
      <c r="N62" s="196">
        <v>3</v>
      </c>
      <c r="P62" s="13" t="s">
        <v>268</v>
      </c>
      <c r="Q62" s="13" t="s">
        <v>269</v>
      </c>
      <c r="R62" s="13" t="s">
        <v>269</v>
      </c>
      <c r="S62" s="15" t="s">
        <v>360</v>
      </c>
      <c r="T62" s="18">
        <v>0</v>
      </c>
      <c r="U62" s="18"/>
      <c r="V62" s="18"/>
      <c r="W62" s="18">
        <f t="shared" si="2"/>
        <v>0</v>
      </c>
      <c r="X62" s="18"/>
      <c r="Y62" s="18"/>
      <c r="Z62" s="18"/>
    </row>
    <row r="63" spans="1:26">
      <c r="C63" s="266"/>
      <c r="D63" s="266"/>
      <c r="E63" s="18" t="s">
        <v>1217</v>
      </c>
      <c r="F63" s="508" t="s">
        <v>251</v>
      </c>
      <c r="G63" s="283" t="s">
        <v>1858</v>
      </c>
      <c r="H63" s="500" t="s">
        <v>77</v>
      </c>
      <c r="I63" s="13" t="s">
        <v>593</v>
      </c>
      <c r="J63" s="34" t="s">
        <v>965</v>
      </c>
      <c r="K63" s="13" t="s">
        <v>966</v>
      </c>
      <c r="L63" s="92">
        <v>66.62</v>
      </c>
      <c r="M63" s="92">
        <f>L63-4-3.22</f>
        <v>59.400000000000006</v>
      </c>
      <c r="N63" s="196">
        <v>25</v>
      </c>
      <c r="P63" s="13" t="s">
        <v>268</v>
      </c>
      <c r="Q63" s="13" t="s">
        <v>269</v>
      </c>
      <c r="R63" s="13" t="s">
        <v>269</v>
      </c>
      <c r="S63" s="15" t="s">
        <v>360</v>
      </c>
      <c r="T63" s="18">
        <v>0</v>
      </c>
      <c r="U63" s="18"/>
      <c r="V63" s="18"/>
      <c r="W63" s="18">
        <f t="shared" si="2"/>
        <v>0</v>
      </c>
      <c r="X63" s="18"/>
      <c r="Y63" s="18"/>
      <c r="Z63" s="18"/>
    </row>
    <row r="64" spans="1:26">
      <c r="A64" s="2"/>
      <c r="C64" s="266"/>
      <c r="D64" s="266"/>
      <c r="E64" s="18" t="s">
        <v>1217</v>
      </c>
      <c r="F64" s="508" t="s">
        <v>251</v>
      </c>
      <c r="G64" s="283" t="s">
        <v>1858</v>
      </c>
      <c r="H64" s="500" t="s">
        <v>77</v>
      </c>
      <c r="I64" s="13" t="s">
        <v>208</v>
      </c>
      <c r="J64" s="16" t="s">
        <v>1567</v>
      </c>
      <c r="K64" s="13" t="s">
        <v>968</v>
      </c>
      <c r="L64" s="32">
        <v>16.04</v>
      </c>
      <c r="M64" s="32">
        <v>16.04</v>
      </c>
      <c r="N64" s="196">
        <v>3</v>
      </c>
      <c r="P64" s="13" t="s">
        <v>268</v>
      </c>
      <c r="Q64" s="13" t="s">
        <v>269</v>
      </c>
      <c r="R64" s="13" t="s">
        <v>269</v>
      </c>
      <c r="S64" s="15" t="s">
        <v>360</v>
      </c>
      <c r="T64" s="18">
        <v>0</v>
      </c>
      <c r="U64" s="18"/>
      <c r="V64" s="18"/>
      <c r="W64" s="18">
        <f t="shared" si="2"/>
        <v>0</v>
      </c>
      <c r="X64" s="18"/>
      <c r="Y64" s="18"/>
      <c r="Z64" s="18"/>
    </row>
    <row r="65" spans="1:26">
      <c r="C65" s="266"/>
      <c r="D65" s="266"/>
      <c r="E65" s="18" t="s">
        <v>1217</v>
      </c>
      <c r="F65" s="508" t="s">
        <v>251</v>
      </c>
      <c r="G65" s="283" t="s">
        <v>1858</v>
      </c>
      <c r="H65" s="500" t="s">
        <v>77</v>
      </c>
      <c r="I65" s="13" t="s">
        <v>208</v>
      </c>
      <c r="J65" s="76" t="s">
        <v>1868</v>
      </c>
      <c r="K65" s="13" t="s">
        <v>1869</v>
      </c>
      <c r="L65" s="161">
        <v>16.04</v>
      </c>
      <c r="M65" s="161">
        <v>16.04</v>
      </c>
      <c r="N65" s="94">
        <v>0</v>
      </c>
      <c r="O65" s="94"/>
      <c r="P65" s="13" t="s">
        <v>268</v>
      </c>
      <c r="Q65" s="13" t="s">
        <v>269</v>
      </c>
      <c r="R65" s="13" t="s">
        <v>269</v>
      </c>
      <c r="S65" s="15" t="s">
        <v>360</v>
      </c>
      <c r="T65" s="18">
        <v>0</v>
      </c>
      <c r="U65" s="18"/>
      <c r="V65" s="18"/>
      <c r="W65" s="18">
        <f t="shared" si="2"/>
        <v>0</v>
      </c>
      <c r="X65" s="18"/>
      <c r="Y65" s="18"/>
      <c r="Z65" s="18"/>
    </row>
    <row r="66" spans="1:26">
      <c r="C66" s="268" t="s">
        <v>1222</v>
      </c>
      <c r="D66" s="268" t="s">
        <v>1222</v>
      </c>
      <c r="E66" s="18" t="s">
        <v>1217</v>
      </c>
      <c r="F66" s="508" t="s">
        <v>251</v>
      </c>
      <c r="G66" s="283" t="s">
        <v>1858</v>
      </c>
      <c r="H66" s="500" t="s">
        <v>77</v>
      </c>
      <c r="I66" s="13" t="s">
        <v>593</v>
      </c>
      <c r="J66" s="16" t="s">
        <v>1561</v>
      </c>
      <c r="K66" s="13" t="s">
        <v>959</v>
      </c>
      <c r="L66" s="32">
        <v>26.57</v>
      </c>
      <c r="M66" s="32">
        <v>26.57</v>
      </c>
      <c r="N66" s="196">
        <v>3</v>
      </c>
      <c r="P66" s="13" t="s">
        <v>268</v>
      </c>
      <c r="Q66" s="13" t="s">
        <v>269</v>
      </c>
      <c r="R66" s="13" t="s">
        <v>269</v>
      </c>
      <c r="S66" s="15" t="s">
        <v>360</v>
      </c>
      <c r="T66" s="18">
        <v>0</v>
      </c>
      <c r="U66" s="18"/>
      <c r="V66" s="18"/>
      <c r="W66" s="18">
        <f t="shared" si="1"/>
        <v>0</v>
      </c>
      <c r="X66" s="18"/>
      <c r="Y66" s="18"/>
      <c r="Z66" s="275">
        <f>SUM(M66:M78)</f>
        <v>311.92999999999995</v>
      </c>
    </row>
    <row r="67" spans="1:26">
      <c r="C67" s="270"/>
      <c r="D67" s="270"/>
      <c r="E67" s="18" t="s">
        <v>1217</v>
      </c>
      <c r="F67" s="508" t="s">
        <v>251</v>
      </c>
      <c r="G67" s="283" t="s">
        <v>1858</v>
      </c>
      <c r="H67" s="500" t="s">
        <v>77</v>
      </c>
      <c r="I67" s="13" t="s">
        <v>208</v>
      </c>
      <c r="J67" s="16" t="s">
        <v>1862</v>
      </c>
      <c r="K67" s="13" t="s">
        <v>960</v>
      </c>
      <c r="L67" s="92">
        <v>11.35</v>
      </c>
      <c r="M67" s="92">
        <v>11.35</v>
      </c>
      <c r="N67" s="196">
        <v>2</v>
      </c>
      <c r="P67" s="13" t="s">
        <v>268</v>
      </c>
      <c r="Q67" s="13" t="s">
        <v>269</v>
      </c>
      <c r="R67" s="13" t="s">
        <v>269</v>
      </c>
      <c r="S67" s="15" t="s">
        <v>360</v>
      </c>
      <c r="T67" s="18">
        <v>0</v>
      </c>
      <c r="U67" s="18"/>
      <c r="V67" s="18"/>
      <c r="W67" s="18">
        <f t="shared" si="1"/>
        <v>0</v>
      </c>
      <c r="X67" s="18"/>
      <c r="Y67" s="18"/>
      <c r="Z67" s="275"/>
    </row>
    <row r="68" spans="1:26">
      <c r="C68" s="270"/>
      <c r="D68" s="270"/>
      <c r="E68" s="18" t="s">
        <v>1217</v>
      </c>
      <c r="F68" s="508" t="s">
        <v>251</v>
      </c>
      <c r="G68" s="283"/>
      <c r="H68" s="500" t="s">
        <v>77</v>
      </c>
      <c r="I68" s="13" t="s">
        <v>1370</v>
      </c>
      <c r="J68" s="502" t="s">
        <v>253</v>
      </c>
      <c r="K68" s="507"/>
      <c r="L68" s="509">
        <v>2.31</v>
      </c>
      <c r="M68" s="509">
        <v>2.31</v>
      </c>
      <c r="N68" s="505">
        <v>0</v>
      </c>
      <c r="O68" s="505"/>
      <c r="P68" s="13" t="s">
        <v>268</v>
      </c>
      <c r="Q68" s="13" t="s">
        <v>269</v>
      </c>
      <c r="R68" s="13" t="s">
        <v>269</v>
      </c>
      <c r="S68" s="15" t="s">
        <v>360</v>
      </c>
      <c r="T68" s="18">
        <v>0</v>
      </c>
      <c r="U68" s="18"/>
      <c r="V68" s="18"/>
      <c r="W68" s="18">
        <f t="shared" si="1"/>
        <v>0</v>
      </c>
      <c r="X68" s="18"/>
      <c r="Y68" s="18"/>
      <c r="Z68" s="275"/>
    </row>
    <row r="69" spans="1:26">
      <c r="C69" s="270"/>
      <c r="D69" s="270"/>
      <c r="E69" s="18" t="s">
        <v>1217</v>
      </c>
      <c r="F69" s="508" t="s">
        <v>251</v>
      </c>
      <c r="G69" s="283" t="s">
        <v>1858</v>
      </c>
      <c r="H69" s="500" t="s">
        <v>77</v>
      </c>
      <c r="I69" s="13" t="s">
        <v>593</v>
      </c>
      <c r="J69" s="34" t="s">
        <v>962</v>
      </c>
      <c r="K69" s="13" t="s">
        <v>963</v>
      </c>
      <c r="L69" s="92">
        <v>66.62</v>
      </c>
      <c r="M69" s="92">
        <f>L69-5.2-2.92-3.9-3.9-3.9</f>
        <v>46.800000000000004</v>
      </c>
      <c r="N69" s="196">
        <v>25</v>
      </c>
      <c r="P69" s="13" t="s">
        <v>268</v>
      </c>
      <c r="Q69" s="13" t="s">
        <v>269</v>
      </c>
      <c r="R69" s="13" t="s">
        <v>269</v>
      </c>
      <c r="S69" s="15" t="s">
        <v>360</v>
      </c>
      <c r="T69" s="18">
        <v>0</v>
      </c>
      <c r="U69" s="18"/>
      <c r="V69" s="18"/>
      <c r="W69" s="18">
        <f t="shared" si="1"/>
        <v>0</v>
      </c>
      <c r="X69" s="18"/>
      <c r="Y69" s="18"/>
      <c r="Z69" s="275"/>
    </row>
    <row r="70" spans="1:26">
      <c r="B70" s="2"/>
      <c r="C70" s="270"/>
      <c r="D70" s="270"/>
      <c r="E70" s="18" t="s">
        <v>1217</v>
      </c>
      <c r="F70" s="508" t="s">
        <v>251</v>
      </c>
      <c r="G70" s="283" t="s">
        <v>1858</v>
      </c>
      <c r="H70" s="500" t="s">
        <v>77</v>
      </c>
      <c r="I70" s="13" t="s">
        <v>208</v>
      </c>
      <c r="J70" s="76" t="s">
        <v>1562</v>
      </c>
      <c r="K70" s="13" t="s">
        <v>1863</v>
      </c>
      <c r="L70" s="161">
        <v>16.04</v>
      </c>
      <c r="M70" s="161">
        <v>16.04</v>
      </c>
      <c r="N70" s="94">
        <v>0</v>
      </c>
      <c r="O70" s="94"/>
      <c r="P70" s="13" t="s">
        <v>268</v>
      </c>
      <c r="Q70" s="13" t="s">
        <v>269</v>
      </c>
      <c r="R70" s="13" t="s">
        <v>269</v>
      </c>
      <c r="S70" s="15" t="s">
        <v>360</v>
      </c>
      <c r="T70" s="18">
        <v>0</v>
      </c>
      <c r="U70" s="18"/>
      <c r="V70" s="18"/>
      <c r="W70" s="18">
        <f t="shared" si="1"/>
        <v>0</v>
      </c>
      <c r="X70" s="18"/>
      <c r="Y70" s="18"/>
      <c r="Z70" s="275"/>
    </row>
    <row r="71" spans="1:26">
      <c r="C71" s="270"/>
      <c r="D71" s="270"/>
      <c r="E71" s="18" t="s">
        <v>1217</v>
      </c>
      <c r="F71" s="508" t="s">
        <v>251</v>
      </c>
      <c r="G71" s="283" t="s">
        <v>1858</v>
      </c>
      <c r="H71" s="500" t="s">
        <v>77</v>
      </c>
      <c r="I71" s="13" t="s">
        <v>208</v>
      </c>
      <c r="J71" s="16" t="s">
        <v>1563</v>
      </c>
      <c r="K71" s="13" t="s">
        <v>961</v>
      </c>
      <c r="L71" s="92">
        <v>16.04</v>
      </c>
      <c r="M71" s="92">
        <v>16.04</v>
      </c>
      <c r="N71" s="196">
        <v>3</v>
      </c>
      <c r="P71" s="13" t="s">
        <v>268</v>
      </c>
      <c r="Q71" s="13" t="s">
        <v>269</v>
      </c>
      <c r="R71" s="13" t="s">
        <v>269</v>
      </c>
      <c r="S71" s="15" t="s">
        <v>360</v>
      </c>
      <c r="T71" s="18">
        <v>0</v>
      </c>
      <c r="U71" s="18"/>
      <c r="V71" s="18"/>
      <c r="W71" s="18">
        <f t="shared" si="1"/>
        <v>0</v>
      </c>
      <c r="X71" s="18"/>
      <c r="Y71" s="18"/>
      <c r="Z71" s="275"/>
    </row>
    <row r="72" spans="1:26">
      <c r="C72" s="270"/>
      <c r="D72" s="270"/>
      <c r="E72" s="18" t="s">
        <v>1217</v>
      </c>
      <c r="F72" s="508" t="s">
        <v>251</v>
      </c>
      <c r="G72" s="283" t="s">
        <v>1858</v>
      </c>
      <c r="H72" s="500" t="s">
        <v>77</v>
      </c>
      <c r="I72" s="13" t="s">
        <v>593</v>
      </c>
      <c r="J72" s="16" t="s">
        <v>1564</v>
      </c>
      <c r="K72" s="13" t="s">
        <v>963</v>
      </c>
      <c r="L72" s="92">
        <v>66.62</v>
      </c>
      <c r="M72" s="92">
        <f>L72-4.35-2.46-3.15</f>
        <v>56.660000000000004</v>
      </c>
      <c r="N72" s="196">
        <v>25</v>
      </c>
      <c r="P72" s="13" t="s">
        <v>268</v>
      </c>
      <c r="Q72" s="13" t="s">
        <v>269</v>
      </c>
      <c r="R72" s="13" t="s">
        <v>269</v>
      </c>
      <c r="S72" s="15" t="s">
        <v>360</v>
      </c>
      <c r="T72" s="18">
        <v>0</v>
      </c>
      <c r="U72" s="18"/>
      <c r="V72" s="18"/>
      <c r="W72" s="18">
        <f t="shared" si="1"/>
        <v>0</v>
      </c>
      <c r="X72" s="18"/>
      <c r="Y72" s="18"/>
      <c r="Z72" s="275"/>
    </row>
    <row r="73" spans="1:26">
      <c r="C73" s="270"/>
      <c r="D73" s="270"/>
      <c r="E73" s="18" t="s">
        <v>1217</v>
      </c>
      <c r="F73" s="508" t="s">
        <v>251</v>
      </c>
      <c r="G73" s="283" t="s">
        <v>1858</v>
      </c>
      <c r="H73" s="500" t="s">
        <v>77</v>
      </c>
      <c r="I73" s="13" t="s">
        <v>208</v>
      </c>
      <c r="J73" s="76" t="s">
        <v>1865</v>
      </c>
      <c r="K73" s="74" t="s">
        <v>1864</v>
      </c>
      <c r="L73" s="161">
        <v>16.04</v>
      </c>
      <c r="M73" s="161">
        <v>16.04</v>
      </c>
      <c r="N73" s="94">
        <v>0</v>
      </c>
      <c r="O73" s="94"/>
      <c r="P73" s="13" t="s">
        <v>268</v>
      </c>
      <c r="Q73" s="13" t="s">
        <v>269</v>
      </c>
      <c r="R73" s="13" t="s">
        <v>269</v>
      </c>
      <c r="S73" s="15" t="s">
        <v>360</v>
      </c>
      <c r="T73" s="18">
        <v>0</v>
      </c>
      <c r="U73" s="18"/>
      <c r="V73" s="18"/>
      <c r="W73" s="18">
        <f t="shared" si="1"/>
        <v>0</v>
      </c>
      <c r="X73" s="18"/>
      <c r="Y73" s="18"/>
      <c r="Z73" s="275"/>
    </row>
    <row r="74" spans="1:26">
      <c r="C74" s="270"/>
      <c r="D74" s="270"/>
      <c r="E74" s="18" t="s">
        <v>1217</v>
      </c>
      <c r="F74" s="508" t="s">
        <v>251</v>
      </c>
      <c r="G74" s="283" t="s">
        <v>1858</v>
      </c>
      <c r="H74" s="500" t="s">
        <v>77</v>
      </c>
      <c r="I74" s="13" t="s">
        <v>208</v>
      </c>
      <c r="J74" s="16" t="s">
        <v>1565</v>
      </c>
      <c r="K74" s="13" t="s">
        <v>964</v>
      </c>
      <c r="L74" s="32">
        <v>16.04</v>
      </c>
      <c r="M74" s="32">
        <v>16.04</v>
      </c>
      <c r="N74" s="196">
        <v>3</v>
      </c>
      <c r="P74" s="13" t="s">
        <v>268</v>
      </c>
      <c r="Q74" s="13" t="s">
        <v>269</v>
      </c>
      <c r="R74" s="13" t="s">
        <v>269</v>
      </c>
      <c r="S74" s="15" t="s">
        <v>360</v>
      </c>
      <c r="T74" s="18">
        <v>0</v>
      </c>
      <c r="U74" s="18"/>
      <c r="V74" s="18"/>
      <c r="W74" s="18">
        <f t="shared" si="1"/>
        <v>0</v>
      </c>
      <c r="X74" s="18"/>
      <c r="Y74" s="18"/>
      <c r="Z74" s="275"/>
    </row>
    <row r="75" spans="1:26">
      <c r="A75" s="2"/>
      <c r="C75" s="270"/>
      <c r="D75" s="270"/>
      <c r="E75" s="18" t="s">
        <v>1217</v>
      </c>
      <c r="F75" s="508" t="s">
        <v>251</v>
      </c>
      <c r="G75" s="283"/>
      <c r="H75" s="500" t="s">
        <v>77</v>
      </c>
      <c r="I75" s="13" t="s">
        <v>355</v>
      </c>
      <c r="J75" s="502" t="s">
        <v>217</v>
      </c>
      <c r="K75" s="507"/>
      <c r="L75" s="509">
        <v>6</v>
      </c>
      <c r="M75" s="509">
        <v>6</v>
      </c>
      <c r="N75" s="505">
        <v>2</v>
      </c>
      <c r="O75" s="505"/>
      <c r="P75" s="13" t="s">
        <v>572</v>
      </c>
      <c r="Q75" s="13" t="s">
        <v>572</v>
      </c>
      <c r="R75" s="13" t="s">
        <v>573</v>
      </c>
      <c r="S75" s="18" t="s">
        <v>100</v>
      </c>
      <c r="T75" s="18">
        <v>0</v>
      </c>
      <c r="U75" s="18"/>
      <c r="V75" s="18"/>
      <c r="W75" s="18">
        <f t="shared" si="1"/>
        <v>0</v>
      </c>
      <c r="X75" s="18"/>
      <c r="Y75" s="18"/>
      <c r="Z75" s="275"/>
    </row>
    <row r="76" spans="1:26">
      <c r="A76" s="2"/>
      <c r="C76" s="270"/>
      <c r="D76" s="270"/>
      <c r="E76" s="18" t="s">
        <v>1217</v>
      </c>
      <c r="F76" s="508" t="s">
        <v>251</v>
      </c>
      <c r="G76" s="283"/>
      <c r="H76" s="500" t="s">
        <v>77</v>
      </c>
      <c r="I76" s="13" t="s">
        <v>192</v>
      </c>
      <c r="J76" s="502" t="s">
        <v>369</v>
      </c>
      <c r="K76" s="507"/>
      <c r="L76" s="509">
        <v>5</v>
      </c>
      <c r="M76" s="509">
        <v>5</v>
      </c>
      <c r="N76" s="505">
        <v>1</v>
      </c>
      <c r="O76" s="505"/>
      <c r="P76" s="13" t="s">
        <v>572</v>
      </c>
      <c r="Q76" s="13" t="s">
        <v>572</v>
      </c>
      <c r="R76" s="13" t="s">
        <v>573</v>
      </c>
      <c r="S76" s="18" t="s">
        <v>100</v>
      </c>
      <c r="T76" s="18">
        <v>0</v>
      </c>
      <c r="U76" s="18"/>
      <c r="V76" s="18"/>
      <c r="W76" s="18">
        <f t="shared" si="1"/>
        <v>0</v>
      </c>
      <c r="X76" s="18"/>
      <c r="Y76" s="18"/>
      <c r="Z76" s="275"/>
    </row>
    <row r="77" spans="1:26">
      <c r="C77" s="270"/>
      <c r="D77" s="270"/>
      <c r="E77" s="18" t="s">
        <v>1217</v>
      </c>
      <c r="F77" s="508" t="s">
        <v>251</v>
      </c>
      <c r="G77" s="283"/>
      <c r="H77" s="500" t="s">
        <v>77</v>
      </c>
      <c r="I77" s="13" t="s">
        <v>27</v>
      </c>
      <c r="J77" s="502" t="s">
        <v>27</v>
      </c>
      <c r="K77" s="507"/>
      <c r="L77" s="509">
        <v>2.5</v>
      </c>
      <c r="M77" s="509">
        <v>2.5</v>
      </c>
      <c r="N77" s="505">
        <v>1</v>
      </c>
      <c r="O77" s="505"/>
      <c r="P77" s="13" t="s">
        <v>572</v>
      </c>
      <c r="Q77" s="13" t="s">
        <v>572</v>
      </c>
      <c r="R77" s="13" t="s">
        <v>573</v>
      </c>
      <c r="S77" s="18" t="s">
        <v>100</v>
      </c>
      <c r="T77" s="18">
        <v>0</v>
      </c>
      <c r="U77" s="18"/>
      <c r="V77" s="18"/>
      <c r="W77" s="18">
        <f t="shared" si="1"/>
        <v>0</v>
      </c>
      <c r="X77" s="18"/>
      <c r="Y77" s="18"/>
      <c r="Z77" s="275"/>
    </row>
    <row r="78" spans="1:26">
      <c r="A78" s="2">
        <f>SUM(L66:L78)</f>
        <v>341.71</v>
      </c>
      <c r="C78" s="269"/>
      <c r="D78" s="269"/>
      <c r="E78" s="18" t="s">
        <v>1217</v>
      </c>
      <c r="F78" s="508" t="s">
        <v>251</v>
      </c>
      <c r="G78" s="283"/>
      <c r="H78" s="500" t="s">
        <v>77</v>
      </c>
      <c r="I78" s="39" t="s">
        <v>194</v>
      </c>
      <c r="J78" s="502" t="s">
        <v>518</v>
      </c>
      <c r="K78" s="507"/>
      <c r="L78" s="509">
        <v>90.58</v>
      </c>
      <c r="M78" s="509">
        <v>90.58</v>
      </c>
      <c r="N78" s="505">
        <v>0</v>
      </c>
      <c r="O78" s="505"/>
      <c r="P78" s="13" t="s">
        <v>268</v>
      </c>
      <c r="Q78" s="13" t="s">
        <v>275</v>
      </c>
      <c r="R78" s="13" t="s">
        <v>269</v>
      </c>
      <c r="S78" s="18" t="s">
        <v>100</v>
      </c>
      <c r="T78" s="18">
        <v>0</v>
      </c>
      <c r="U78" s="18"/>
      <c r="V78" s="18"/>
      <c r="W78" s="18">
        <f t="shared" si="1"/>
        <v>0</v>
      </c>
      <c r="X78" s="18"/>
      <c r="Y78" s="18"/>
      <c r="Z78" s="275"/>
    </row>
    <row r="79" spans="1:26">
      <c r="C79" s="272" t="s">
        <v>1222</v>
      </c>
      <c r="D79" s="272" t="s">
        <v>1222</v>
      </c>
      <c r="E79" s="18" t="s">
        <v>1217</v>
      </c>
      <c r="F79" s="499" t="s">
        <v>372</v>
      </c>
      <c r="G79" s="282" t="s">
        <v>1859</v>
      </c>
      <c r="H79" s="510" t="s">
        <v>78</v>
      </c>
      <c r="I79" s="13" t="s">
        <v>248</v>
      </c>
      <c r="J79" s="511" t="s">
        <v>373</v>
      </c>
      <c r="K79" s="13" t="s">
        <v>970</v>
      </c>
      <c r="L79" s="13">
        <v>66.599999999999994</v>
      </c>
      <c r="M79" s="13">
        <v>66.599999999999994</v>
      </c>
      <c r="N79" s="196">
        <v>50</v>
      </c>
      <c r="P79" s="13" t="s">
        <v>268</v>
      </c>
      <c r="Q79" s="13" t="s">
        <v>269</v>
      </c>
      <c r="R79" s="13" t="s">
        <v>460</v>
      </c>
      <c r="S79" s="15" t="s">
        <v>360</v>
      </c>
      <c r="T79" s="18">
        <v>0</v>
      </c>
      <c r="U79" s="18"/>
      <c r="V79" s="18"/>
      <c r="W79" s="18">
        <f t="shared" si="1"/>
        <v>0</v>
      </c>
      <c r="X79" s="18"/>
      <c r="Y79" s="18"/>
      <c r="Z79" s="21" t="e">
        <f>SUM(#REF!)</f>
        <v>#REF!</v>
      </c>
    </row>
    <row r="80" spans="1:26">
      <c r="C80" s="273"/>
      <c r="D80" s="273"/>
      <c r="E80" s="18" t="s">
        <v>1217</v>
      </c>
      <c r="F80" s="499" t="s">
        <v>372</v>
      </c>
      <c r="G80" s="282" t="s">
        <v>1859</v>
      </c>
      <c r="H80" s="510" t="s">
        <v>78</v>
      </c>
      <c r="I80" s="13" t="s">
        <v>596</v>
      </c>
      <c r="J80" s="511" t="s">
        <v>1568</v>
      </c>
      <c r="K80" s="13" t="s">
        <v>971</v>
      </c>
      <c r="L80" s="13">
        <v>66.599999999999994</v>
      </c>
      <c r="M80" s="13">
        <v>66.599999999999994</v>
      </c>
      <c r="N80" s="196">
        <v>33</v>
      </c>
      <c r="P80" s="13" t="s">
        <v>268</v>
      </c>
      <c r="Q80" s="13" t="s">
        <v>269</v>
      </c>
      <c r="R80" s="13" t="s">
        <v>460</v>
      </c>
      <c r="S80" s="15" t="s">
        <v>360</v>
      </c>
      <c r="T80" s="18">
        <v>0</v>
      </c>
      <c r="U80" s="18"/>
      <c r="V80" s="18"/>
      <c r="W80" s="18">
        <f t="shared" si="1"/>
        <v>0</v>
      </c>
      <c r="X80" s="18"/>
      <c r="Y80" s="18"/>
      <c r="Z80" s="21"/>
    </row>
    <row r="81" spans="3:26">
      <c r="C81" s="273"/>
      <c r="D81" s="273"/>
      <c r="E81" s="18" t="s">
        <v>1217</v>
      </c>
      <c r="F81" s="499" t="s">
        <v>372</v>
      </c>
      <c r="G81" s="282" t="s">
        <v>1859</v>
      </c>
      <c r="H81" s="510" t="s">
        <v>78</v>
      </c>
      <c r="I81" s="13" t="s">
        <v>596</v>
      </c>
      <c r="J81" s="511" t="s">
        <v>1569</v>
      </c>
      <c r="K81" s="13" t="s">
        <v>972</v>
      </c>
      <c r="L81" s="13">
        <v>66.599999999999994</v>
      </c>
      <c r="M81" s="13">
        <v>66.599999999999994</v>
      </c>
      <c r="N81" s="196">
        <v>10</v>
      </c>
      <c r="P81" s="13" t="s">
        <v>268</v>
      </c>
      <c r="Q81" s="13" t="s">
        <v>269</v>
      </c>
      <c r="R81" s="13" t="s">
        <v>460</v>
      </c>
      <c r="S81" s="15" t="s">
        <v>360</v>
      </c>
      <c r="T81" s="18">
        <v>0</v>
      </c>
      <c r="U81" s="18"/>
      <c r="V81" s="18"/>
      <c r="W81" s="18">
        <f t="shared" si="1"/>
        <v>0</v>
      </c>
      <c r="X81" s="18"/>
      <c r="Y81" s="18"/>
      <c r="Z81" s="21"/>
    </row>
    <row r="82" spans="3:26">
      <c r="C82" s="273"/>
      <c r="D82" s="273"/>
      <c r="E82" s="18" t="s">
        <v>1217</v>
      </c>
      <c r="F82" s="499" t="s">
        <v>372</v>
      </c>
      <c r="G82" s="282" t="s">
        <v>1859</v>
      </c>
      <c r="H82" s="510" t="s">
        <v>78</v>
      </c>
      <c r="I82" s="13" t="s">
        <v>208</v>
      </c>
      <c r="J82" s="511" t="s">
        <v>1570</v>
      </c>
      <c r="K82" s="13" t="s">
        <v>973</v>
      </c>
      <c r="L82" s="13">
        <v>66.599999999999994</v>
      </c>
      <c r="M82" s="13">
        <v>66.599999999999994</v>
      </c>
      <c r="N82" s="196">
        <v>10</v>
      </c>
      <c r="P82" s="13" t="s">
        <v>268</v>
      </c>
      <c r="Q82" s="13" t="s">
        <v>269</v>
      </c>
      <c r="R82" s="13" t="s">
        <v>460</v>
      </c>
      <c r="S82" s="15" t="s">
        <v>360</v>
      </c>
      <c r="T82" s="18">
        <v>0</v>
      </c>
      <c r="U82" s="18"/>
      <c r="V82" s="18"/>
      <c r="W82" s="18">
        <f t="shared" si="1"/>
        <v>0</v>
      </c>
      <c r="X82" s="18"/>
      <c r="Y82" s="18"/>
      <c r="Z82" s="21"/>
    </row>
    <row r="83" spans="3:26">
      <c r="C83" s="273"/>
      <c r="D83" s="273"/>
      <c r="E83" s="18" t="s">
        <v>1217</v>
      </c>
      <c r="F83" s="499" t="s">
        <v>372</v>
      </c>
      <c r="G83" s="282" t="s">
        <v>1860</v>
      </c>
      <c r="H83" s="510" t="s">
        <v>78</v>
      </c>
      <c r="I83" s="13" t="s">
        <v>249</v>
      </c>
      <c r="J83" s="60" t="s">
        <v>1571</v>
      </c>
      <c r="K83" s="13" t="s">
        <v>974</v>
      </c>
      <c r="L83" s="13">
        <v>12.86</v>
      </c>
      <c r="M83" s="13">
        <v>12.86</v>
      </c>
      <c r="N83" s="196">
        <v>2</v>
      </c>
      <c r="P83" s="13" t="s">
        <v>268</v>
      </c>
      <c r="Q83" s="13" t="s">
        <v>269</v>
      </c>
      <c r="R83" s="13" t="s">
        <v>460</v>
      </c>
      <c r="S83" s="15" t="s">
        <v>360</v>
      </c>
      <c r="T83" s="18">
        <v>0</v>
      </c>
      <c r="U83" s="18"/>
      <c r="V83" s="18"/>
      <c r="W83" s="18">
        <f t="shared" si="1"/>
        <v>0</v>
      </c>
      <c r="X83" s="18"/>
      <c r="Y83" s="18"/>
      <c r="Z83" s="21"/>
    </row>
    <row r="84" spans="3:26">
      <c r="C84" s="273"/>
      <c r="D84" s="273"/>
      <c r="E84" s="18" t="s">
        <v>1217</v>
      </c>
      <c r="F84" s="499" t="s">
        <v>372</v>
      </c>
      <c r="G84" s="282" t="s">
        <v>1858</v>
      </c>
      <c r="H84" s="510" t="s">
        <v>78</v>
      </c>
      <c r="I84" s="13" t="s">
        <v>208</v>
      </c>
      <c r="J84" s="60" t="s">
        <v>2523</v>
      </c>
      <c r="K84" s="13" t="s">
        <v>975</v>
      </c>
      <c r="L84" s="13">
        <v>10.46</v>
      </c>
      <c r="M84" s="13">
        <v>10.46</v>
      </c>
      <c r="N84" s="196">
        <v>2</v>
      </c>
      <c r="P84" s="13" t="s">
        <v>268</v>
      </c>
      <c r="Q84" s="13" t="s">
        <v>269</v>
      </c>
      <c r="R84" s="13" t="s">
        <v>460</v>
      </c>
      <c r="S84" s="15" t="s">
        <v>360</v>
      </c>
      <c r="T84" s="18">
        <v>0</v>
      </c>
      <c r="U84" s="18"/>
      <c r="V84" s="18"/>
      <c r="W84" s="18">
        <f t="shared" ref="W84:W147" si="3">AVERAGE(T84:V84)</f>
        <v>0</v>
      </c>
      <c r="X84" s="18"/>
      <c r="Y84" s="18"/>
      <c r="Z84" s="21"/>
    </row>
    <row r="85" spans="3:26">
      <c r="C85" s="273"/>
      <c r="D85" s="273"/>
      <c r="E85" s="18" t="s">
        <v>1217</v>
      </c>
      <c r="F85" s="499" t="s">
        <v>372</v>
      </c>
      <c r="G85" s="282" t="s">
        <v>1860</v>
      </c>
      <c r="H85" s="510" t="s">
        <v>78</v>
      </c>
      <c r="I85" s="13" t="s">
        <v>249</v>
      </c>
      <c r="J85" s="60" t="s">
        <v>1572</v>
      </c>
      <c r="K85" s="13" t="s">
        <v>976</v>
      </c>
      <c r="L85" s="13">
        <v>10.46</v>
      </c>
      <c r="M85" s="13">
        <v>10.46</v>
      </c>
      <c r="N85" s="196">
        <v>2</v>
      </c>
      <c r="P85" s="13" t="s">
        <v>268</v>
      </c>
      <c r="Q85" s="13" t="s">
        <v>269</v>
      </c>
      <c r="R85" s="13" t="s">
        <v>460</v>
      </c>
      <c r="S85" s="15" t="s">
        <v>360</v>
      </c>
      <c r="T85" s="18">
        <v>0</v>
      </c>
      <c r="U85" s="18"/>
      <c r="V85" s="18"/>
      <c r="W85" s="18">
        <f t="shared" si="3"/>
        <v>0</v>
      </c>
      <c r="X85" s="18"/>
      <c r="Y85" s="18"/>
      <c r="Z85" s="21"/>
    </row>
    <row r="86" spans="3:26">
      <c r="C86" s="273"/>
      <c r="D86" s="273"/>
      <c r="E86" s="18" t="s">
        <v>1217</v>
      </c>
      <c r="F86" s="499" t="s">
        <v>372</v>
      </c>
      <c r="G86" s="282" t="s">
        <v>1860</v>
      </c>
      <c r="H86" s="510" t="s">
        <v>78</v>
      </c>
      <c r="I86" s="13" t="s">
        <v>249</v>
      </c>
      <c r="J86" s="60" t="s">
        <v>1573</v>
      </c>
      <c r="K86" s="13" t="s">
        <v>988</v>
      </c>
      <c r="L86" s="13">
        <v>10.46</v>
      </c>
      <c r="M86" s="13">
        <v>10.46</v>
      </c>
      <c r="N86" s="196">
        <v>2</v>
      </c>
      <c r="P86" s="13" t="s">
        <v>268</v>
      </c>
      <c r="Q86" s="13" t="s">
        <v>269</v>
      </c>
      <c r="R86" s="13" t="s">
        <v>460</v>
      </c>
      <c r="S86" s="15" t="s">
        <v>360</v>
      </c>
      <c r="T86" s="18">
        <v>0</v>
      </c>
      <c r="U86" s="18"/>
      <c r="V86" s="18"/>
      <c r="W86" s="18">
        <f t="shared" si="3"/>
        <v>0</v>
      </c>
      <c r="X86" s="18"/>
      <c r="Y86" s="18"/>
      <c r="Z86" s="21"/>
    </row>
    <row r="87" spans="3:26">
      <c r="C87" s="273"/>
      <c r="D87" s="273"/>
      <c r="E87" s="18" t="s">
        <v>1217</v>
      </c>
      <c r="F87" s="499" t="s">
        <v>372</v>
      </c>
      <c r="G87" s="282" t="s">
        <v>1860</v>
      </c>
      <c r="H87" s="510" t="s">
        <v>78</v>
      </c>
      <c r="I87" s="13" t="s">
        <v>249</v>
      </c>
      <c r="J87" s="60" t="s">
        <v>1574</v>
      </c>
      <c r="K87" s="13" t="s">
        <v>977</v>
      </c>
      <c r="L87" s="13">
        <v>10.46</v>
      </c>
      <c r="M87" s="13">
        <v>10.46</v>
      </c>
      <c r="N87" s="196">
        <v>2</v>
      </c>
      <c r="P87" s="13" t="s">
        <v>268</v>
      </c>
      <c r="Q87" s="13" t="s">
        <v>269</v>
      </c>
      <c r="R87" s="13" t="s">
        <v>460</v>
      </c>
      <c r="S87" s="15" t="s">
        <v>360</v>
      </c>
      <c r="T87" s="18">
        <v>0</v>
      </c>
      <c r="U87" s="18"/>
      <c r="V87" s="18"/>
      <c r="W87" s="18">
        <f t="shared" si="3"/>
        <v>0</v>
      </c>
      <c r="X87" s="18"/>
      <c r="Y87" s="18"/>
      <c r="Z87" s="21"/>
    </row>
    <row r="88" spans="3:26">
      <c r="C88" s="273"/>
      <c r="D88" s="273"/>
      <c r="E88" s="18" t="s">
        <v>1217</v>
      </c>
      <c r="F88" s="499" t="s">
        <v>372</v>
      </c>
      <c r="G88" s="282" t="s">
        <v>1859</v>
      </c>
      <c r="H88" s="510" t="s">
        <v>78</v>
      </c>
      <c r="I88" s="13" t="s">
        <v>208</v>
      </c>
      <c r="J88" s="511" t="s">
        <v>1575</v>
      </c>
      <c r="K88" s="13" t="s">
        <v>979</v>
      </c>
      <c r="L88" s="13">
        <v>10.46</v>
      </c>
      <c r="M88" s="13">
        <v>10.46</v>
      </c>
      <c r="N88" s="196">
        <v>2</v>
      </c>
      <c r="P88" s="13" t="s">
        <v>268</v>
      </c>
      <c r="Q88" s="13" t="s">
        <v>269</v>
      </c>
      <c r="R88" s="13" t="s">
        <v>460</v>
      </c>
      <c r="S88" s="15" t="s">
        <v>360</v>
      </c>
      <c r="T88" s="18">
        <v>0</v>
      </c>
      <c r="U88" s="18"/>
      <c r="V88" s="18"/>
      <c r="W88" s="18">
        <f t="shared" si="3"/>
        <v>0</v>
      </c>
      <c r="X88" s="18"/>
      <c r="Y88" s="18"/>
      <c r="Z88" s="21"/>
    </row>
    <row r="89" spans="3:26">
      <c r="C89" s="273"/>
      <c r="D89" s="273"/>
      <c r="E89" s="18" t="s">
        <v>1217</v>
      </c>
      <c r="F89" s="499" t="s">
        <v>372</v>
      </c>
      <c r="G89" s="282" t="s">
        <v>1859</v>
      </c>
      <c r="H89" s="510" t="s">
        <v>78</v>
      </c>
      <c r="I89" s="13" t="s">
        <v>208</v>
      </c>
      <c r="J89" s="511" t="s">
        <v>1576</v>
      </c>
      <c r="K89" s="13" t="s">
        <v>980</v>
      </c>
      <c r="L89" s="13">
        <v>10.46</v>
      </c>
      <c r="M89" s="13">
        <v>10.46</v>
      </c>
      <c r="N89" s="196">
        <v>2</v>
      </c>
      <c r="P89" s="13" t="s">
        <v>268</v>
      </c>
      <c r="Q89" s="13" t="s">
        <v>269</v>
      </c>
      <c r="R89" s="13" t="s">
        <v>460</v>
      </c>
      <c r="S89" s="15" t="s">
        <v>360</v>
      </c>
      <c r="T89" s="18">
        <v>0</v>
      </c>
      <c r="U89" s="18"/>
      <c r="V89" s="18"/>
      <c r="W89" s="18">
        <f t="shared" si="3"/>
        <v>0</v>
      </c>
      <c r="X89" s="18"/>
      <c r="Y89" s="18"/>
      <c r="Z89" s="21"/>
    </row>
    <row r="90" spans="3:26" ht="30">
      <c r="C90" s="273"/>
      <c r="D90" s="273"/>
      <c r="E90" s="18" t="s">
        <v>1217</v>
      </c>
      <c r="F90" s="499" t="s">
        <v>372</v>
      </c>
      <c r="G90" s="282" t="s">
        <v>1859</v>
      </c>
      <c r="H90" s="510" t="s">
        <v>78</v>
      </c>
      <c r="I90" s="13" t="s">
        <v>208</v>
      </c>
      <c r="J90" s="511" t="s">
        <v>1577</v>
      </c>
      <c r="K90" s="13" t="s">
        <v>981</v>
      </c>
      <c r="L90" s="13">
        <v>10.46</v>
      </c>
      <c r="M90" s="13">
        <v>10.46</v>
      </c>
      <c r="N90" s="196">
        <v>2</v>
      </c>
      <c r="P90" s="13" t="s">
        <v>268</v>
      </c>
      <c r="Q90" s="13" t="s">
        <v>269</v>
      </c>
      <c r="R90" s="13" t="s">
        <v>460</v>
      </c>
      <c r="S90" s="15" t="s">
        <v>360</v>
      </c>
      <c r="T90" s="18">
        <v>0</v>
      </c>
      <c r="U90" s="18"/>
      <c r="V90" s="18"/>
      <c r="W90" s="18">
        <f t="shared" si="3"/>
        <v>0</v>
      </c>
      <c r="X90" s="18"/>
      <c r="Y90" s="18"/>
      <c r="Z90" s="21"/>
    </row>
    <row r="91" spans="3:26" ht="30">
      <c r="C91" s="273"/>
      <c r="D91" s="273"/>
      <c r="E91" s="18" t="s">
        <v>1217</v>
      </c>
      <c r="F91" s="499" t="s">
        <v>372</v>
      </c>
      <c r="G91" s="282" t="s">
        <v>1859</v>
      </c>
      <c r="H91" s="510" t="s">
        <v>78</v>
      </c>
      <c r="I91" s="13" t="s">
        <v>208</v>
      </c>
      <c r="J91" s="511" t="s">
        <v>1578</v>
      </c>
      <c r="K91" s="13" t="s">
        <v>982</v>
      </c>
      <c r="L91" s="13">
        <v>10.46</v>
      </c>
      <c r="M91" s="13">
        <v>10.46</v>
      </c>
      <c r="N91" s="196">
        <v>2</v>
      </c>
      <c r="P91" s="13" t="s">
        <v>268</v>
      </c>
      <c r="Q91" s="13" t="s">
        <v>269</v>
      </c>
      <c r="R91" s="13" t="s">
        <v>460</v>
      </c>
      <c r="S91" s="15" t="s">
        <v>360</v>
      </c>
      <c r="T91" s="18">
        <v>0</v>
      </c>
      <c r="U91" s="18"/>
      <c r="V91" s="18"/>
      <c r="W91" s="18">
        <f t="shared" si="3"/>
        <v>0</v>
      </c>
      <c r="X91" s="18"/>
      <c r="Y91" s="18"/>
      <c r="Z91" s="21"/>
    </row>
    <row r="92" spans="3:26">
      <c r="C92" s="273"/>
      <c r="D92" s="273"/>
      <c r="E92" s="18" t="s">
        <v>1217</v>
      </c>
      <c r="F92" s="499" t="s">
        <v>372</v>
      </c>
      <c r="G92" s="282" t="s">
        <v>1859</v>
      </c>
      <c r="H92" s="510" t="s">
        <v>78</v>
      </c>
      <c r="I92" s="13" t="s">
        <v>208</v>
      </c>
      <c r="J92" s="511" t="s">
        <v>1579</v>
      </c>
      <c r="K92" s="13" t="s">
        <v>983</v>
      </c>
      <c r="L92" s="13">
        <v>10.46</v>
      </c>
      <c r="M92" s="13">
        <v>10.46</v>
      </c>
      <c r="N92" s="196">
        <v>2</v>
      </c>
      <c r="P92" s="13" t="s">
        <v>268</v>
      </c>
      <c r="Q92" s="13" t="s">
        <v>269</v>
      </c>
      <c r="R92" s="13" t="s">
        <v>460</v>
      </c>
      <c r="S92" s="15" t="s">
        <v>360</v>
      </c>
      <c r="T92" s="18">
        <v>0</v>
      </c>
      <c r="U92" s="18"/>
      <c r="V92" s="18"/>
      <c r="W92" s="18">
        <f t="shared" si="3"/>
        <v>0</v>
      </c>
      <c r="X92" s="18"/>
      <c r="Y92" s="18"/>
      <c r="Z92" s="21"/>
    </row>
    <row r="93" spans="3:26" ht="30">
      <c r="C93" s="273"/>
      <c r="D93" s="273"/>
      <c r="E93" s="18" t="s">
        <v>1217</v>
      </c>
      <c r="F93" s="499" t="s">
        <v>372</v>
      </c>
      <c r="G93" s="282" t="s">
        <v>1859</v>
      </c>
      <c r="H93" s="510" t="s">
        <v>78</v>
      </c>
      <c r="I93" s="13" t="s">
        <v>208</v>
      </c>
      <c r="J93" s="511" t="s">
        <v>1580</v>
      </c>
      <c r="K93" s="13" t="s">
        <v>984</v>
      </c>
      <c r="L93" s="13">
        <v>10.46</v>
      </c>
      <c r="M93" s="13">
        <v>10.46</v>
      </c>
      <c r="N93" s="196">
        <v>2</v>
      </c>
      <c r="P93" s="13" t="s">
        <v>268</v>
      </c>
      <c r="Q93" s="13" t="s">
        <v>269</v>
      </c>
      <c r="R93" s="13" t="s">
        <v>460</v>
      </c>
      <c r="S93" s="15" t="s">
        <v>360</v>
      </c>
      <c r="T93" s="18">
        <v>0</v>
      </c>
      <c r="U93" s="18"/>
      <c r="V93" s="18"/>
      <c r="W93" s="18">
        <f t="shared" si="3"/>
        <v>0</v>
      </c>
      <c r="X93" s="18"/>
      <c r="Y93" s="18"/>
      <c r="Z93" s="21"/>
    </row>
    <row r="94" spans="3:26" ht="30">
      <c r="C94" s="273"/>
      <c r="D94" s="273"/>
      <c r="E94" s="18" t="s">
        <v>1217</v>
      </c>
      <c r="F94" s="499" t="s">
        <v>372</v>
      </c>
      <c r="G94" s="282" t="s">
        <v>1859</v>
      </c>
      <c r="H94" s="510" t="s">
        <v>78</v>
      </c>
      <c r="I94" s="13" t="s">
        <v>208</v>
      </c>
      <c r="J94" s="511" t="s">
        <v>1581</v>
      </c>
      <c r="K94" s="13" t="s">
        <v>985</v>
      </c>
      <c r="L94" s="13">
        <v>10.46</v>
      </c>
      <c r="M94" s="13">
        <v>10.46</v>
      </c>
      <c r="N94" s="196">
        <v>2</v>
      </c>
      <c r="P94" s="13" t="s">
        <v>268</v>
      </c>
      <c r="Q94" s="13" t="s">
        <v>269</v>
      </c>
      <c r="R94" s="13" t="s">
        <v>460</v>
      </c>
      <c r="S94" s="15" t="s">
        <v>360</v>
      </c>
      <c r="T94" s="18">
        <v>0</v>
      </c>
      <c r="U94" s="18"/>
      <c r="V94" s="18"/>
      <c r="W94" s="18">
        <f t="shared" si="3"/>
        <v>0</v>
      </c>
      <c r="X94" s="18"/>
      <c r="Y94" s="18"/>
      <c r="Z94" s="21"/>
    </row>
    <row r="95" spans="3:26">
      <c r="C95" s="273"/>
      <c r="D95" s="273"/>
      <c r="E95" s="18" t="s">
        <v>1217</v>
      </c>
      <c r="F95" s="499" t="s">
        <v>372</v>
      </c>
      <c r="G95" s="282" t="s">
        <v>1859</v>
      </c>
      <c r="H95" s="510" t="s">
        <v>78</v>
      </c>
      <c r="I95" s="13" t="s">
        <v>249</v>
      </c>
      <c r="J95" s="511" t="s">
        <v>989</v>
      </c>
      <c r="K95" s="13" t="s">
        <v>986</v>
      </c>
      <c r="L95" s="13">
        <v>10.46</v>
      </c>
      <c r="M95" s="13">
        <v>10.46</v>
      </c>
      <c r="N95" s="196">
        <v>2</v>
      </c>
      <c r="P95" s="13" t="s">
        <v>268</v>
      </c>
      <c r="Q95" s="13" t="s">
        <v>269</v>
      </c>
      <c r="R95" s="13" t="s">
        <v>460</v>
      </c>
      <c r="S95" s="15" t="s">
        <v>360</v>
      </c>
      <c r="T95" s="18">
        <v>0</v>
      </c>
      <c r="U95" s="18"/>
      <c r="V95" s="18"/>
      <c r="W95" s="18">
        <f t="shared" si="3"/>
        <v>0</v>
      </c>
      <c r="X95" s="18"/>
      <c r="Y95" s="18"/>
      <c r="Z95" s="21"/>
    </row>
    <row r="96" spans="3:26">
      <c r="C96" s="273"/>
      <c r="D96" s="273"/>
      <c r="E96" s="18" t="s">
        <v>1217</v>
      </c>
      <c r="F96" s="499" t="s">
        <v>372</v>
      </c>
      <c r="G96" s="282" t="s">
        <v>1859</v>
      </c>
      <c r="H96" s="510" t="s">
        <v>78</v>
      </c>
      <c r="I96" s="13" t="s">
        <v>208</v>
      </c>
      <c r="J96" s="511" t="s">
        <v>978</v>
      </c>
      <c r="K96" s="13" t="s">
        <v>987</v>
      </c>
      <c r="L96" s="13">
        <v>21.62</v>
      </c>
      <c r="M96" s="13">
        <v>21.62</v>
      </c>
      <c r="N96" s="196">
        <v>4</v>
      </c>
      <c r="P96" s="13" t="s">
        <v>268</v>
      </c>
      <c r="Q96" s="13" t="s">
        <v>269</v>
      </c>
      <c r="R96" s="13" t="s">
        <v>460</v>
      </c>
      <c r="S96" s="15" t="s">
        <v>360</v>
      </c>
      <c r="T96" s="18">
        <v>0</v>
      </c>
      <c r="U96" s="18"/>
      <c r="V96" s="18"/>
      <c r="W96" s="18">
        <f t="shared" si="3"/>
        <v>0</v>
      </c>
      <c r="X96" s="18"/>
      <c r="Y96" s="18"/>
      <c r="Z96" s="21"/>
    </row>
    <row r="97" spans="1:26">
      <c r="C97" s="273"/>
      <c r="D97" s="273"/>
      <c r="E97" s="18" t="s">
        <v>1217</v>
      </c>
      <c r="F97" s="499" t="s">
        <v>372</v>
      </c>
      <c r="G97" s="282"/>
      <c r="H97" s="510" t="s">
        <v>78</v>
      </c>
      <c r="I97" s="13" t="s">
        <v>192</v>
      </c>
      <c r="J97" s="502" t="s">
        <v>367</v>
      </c>
      <c r="K97" s="507"/>
      <c r="L97" s="507">
        <v>31.37</v>
      </c>
      <c r="M97" s="507">
        <v>31.37</v>
      </c>
      <c r="N97" s="505">
        <v>7</v>
      </c>
      <c r="O97" s="505"/>
      <c r="P97" s="13" t="s">
        <v>572</v>
      </c>
      <c r="Q97" s="13" t="s">
        <v>572</v>
      </c>
      <c r="R97" s="13" t="s">
        <v>460</v>
      </c>
      <c r="S97" s="18" t="s">
        <v>100</v>
      </c>
      <c r="T97" s="18">
        <v>0</v>
      </c>
      <c r="U97" s="18"/>
      <c r="V97" s="18"/>
      <c r="W97" s="18">
        <f t="shared" si="3"/>
        <v>0</v>
      </c>
      <c r="X97" s="18"/>
      <c r="Y97" s="18"/>
      <c r="Z97" s="21"/>
    </row>
    <row r="98" spans="1:26">
      <c r="C98" s="273"/>
      <c r="D98" s="273"/>
      <c r="E98" s="18" t="s">
        <v>1217</v>
      </c>
      <c r="F98" s="499" t="s">
        <v>372</v>
      </c>
      <c r="G98" s="282"/>
      <c r="H98" s="510" t="s">
        <v>78</v>
      </c>
      <c r="I98" s="13" t="s">
        <v>192</v>
      </c>
      <c r="J98" s="502" t="s">
        <v>368</v>
      </c>
      <c r="K98" s="507"/>
      <c r="L98" s="507">
        <v>31.37</v>
      </c>
      <c r="M98" s="507">
        <v>31.37</v>
      </c>
      <c r="N98" s="505">
        <v>5</v>
      </c>
      <c r="O98" s="505"/>
      <c r="P98" s="13" t="s">
        <v>572</v>
      </c>
      <c r="Q98" s="13" t="s">
        <v>572</v>
      </c>
      <c r="R98" s="13" t="s">
        <v>460</v>
      </c>
      <c r="S98" s="18" t="s">
        <v>100</v>
      </c>
      <c r="T98" s="18">
        <v>0</v>
      </c>
      <c r="U98" s="18"/>
      <c r="V98" s="18"/>
      <c r="W98" s="18">
        <f t="shared" si="3"/>
        <v>0</v>
      </c>
      <c r="X98" s="18"/>
      <c r="Y98" s="18"/>
      <c r="Z98" s="21"/>
    </row>
    <row r="99" spans="1:26">
      <c r="C99" s="273"/>
      <c r="D99" s="273"/>
      <c r="E99" s="18" t="s">
        <v>1217</v>
      </c>
      <c r="F99" s="499" t="s">
        <v>372</v>
      </c>
      <c r="G99" s="282"/>
      <c r="H99" s="510" t="s">
        <v>78</v>
      </c>
      <c r="I99" s="13" t="s">
        <v>27</v>
      </c>
      <c r="J99" s="502" t="s">
        <v>1397</v>
      </c>
      <c r="K99" s="507"/>
      <c r="L99" s="507">
        <v>2.31</v>
      </c>
      <c r="M99" s="507">
        <v>2.31</v>
      </c>
      <c r="N99" s="505">
        <v>1</v>
      </c>
      <c r="O99" s="505"/>
      <c r="P99" s="13" t="s">
        <v>572</v>
      </c>
      <c r="Q99" s="13" t="s">
        <v>572</v>
      </c>
      <c r="R99" s="13" t="s">
        <v>460</v>
      </c>
      <c r="S99" s="18" t="s">
        <v>100</v>
      </c>
      <c r="T99" s="18">
        <v>0</v>
      </c>
      <c r="U99" s="18"/>
      <c r="V99" s="18"/>
      <c r="W99" s="18">
        <f t="shared" si="3"/>
        <v>0</v>
      </c>
      <c r="X99" s="18"/>
      <c r="Y99" s="18"/>
      <c r="Z99" s="21"/>
    </row>
    <row r="100" spans="1:26">
      <c r="C100" s="273"/>
      <c r="D100" s="273"/>
      <c r="E100" s="18" t="s">
        <v>1217</v>
      </c>
      <c r="F100" s="499" t="s">
        <v>372</v>
      </c>
      <c r="G100" s="282" t="s">
        <v>389</v>
      </c>
      <c r="H100" s="510" t="s">
        <v>78</v>
      </c>
      <c r="I100" s="195" t="s">
        <v>1370</v>
      </c>
      <c r="J100" s="502" t="s">
        <v>198</v>
      </c>
      <c r="K100" s="507"/>
      <c r="L100" s="507">
        <v>3.6</v>
      </c>
      <c r="M100" s="507">
        <v>3.6</v>
      </c>
      <c r="N100" s="505">
        <v>0</v>
      </c>
      <c r="O100" s="505"/>
      <c r="P100" s="13" t="s">
        <v>572</v>
      </c>
      <c r="Q100" s="13" t="s">
        <v>572</v>
      </c>
      <c r="R100" s="13" t="s">
        <v>460</v>
      </c>
      <c r="S100" s="18" t="s">
        <v>100</v>
      </c>
      <c r="T100" s="18">
        <v>0</v>
      </c>
      <c r="U100" s="18"/>
      <c r="V100" s="18"/>
      <c r="W100" s="18">
        <f t="shared" si="3"/>
        <v>0</v>
      </c>
      <c r="X100" s="18"/>
      <c r="Y100" s="18"/>
      <c r="Z100" s="21"/>
    </row>
    <row r="101" spans="1:26">
      <c r="C101" s="273"/>
      <c r="D101" s="273"/>
      <c r="E101" s="18" t="s">
        <v>1217</v>
      </c>
      <c r="F101" s="499" t="s">
        <v>372</v>
      </c>
      <c r="G101" s="282"/>
      <c r="H101" s="510" t="s">
        <v>78</v>
      </c>
      <c r="I101" s="13" t="s">
        <v>192</v>
      </c>
      <c r="J101" s="502" t="s">
        <v>369</v>
      </c>
      <c r="K101" s="507"/>
      <c r="L101" s="507">
        <v>1.83</v>
      </c>
      <c r="M101" s="507">
        <v>1.83</v>
      </c>
      <c r="N101" s="505">
        <v>1</v>
      </c>
      <c r="O101" s="505"/>
      <c r="P101" s="13" t="s">
        <v>572</v>
      </c>
      <c r="Q101" s="13" t="s">
        <v>572</v>
      </c>
      <c r="R101" s="13" t="s">
        <v>460</v>
      </c>
      <c r="S101" s="18" t="s">
        <v>100</v>
      </c>
      <c r="T101" s="18">
        <v>0</v>
      </c>
      <c r="U101" s="18"/>
      <c r="V101" s="18"/>
      <c r="W101" s="18">
        <f t="shared" si="3"/>
        <v>0</v>
      </c>
      <c r="X101" s="18"/>
      <c r="Y101" s="18"/>
      <c r="Z101" s="21"/>
    </row>
    <row r="102" spans="1:26">
      <c r="C102" s="273"/>
      <c r="D102" s="273"/>
      <c r="E102" s="18" t="s">
        <v>1217</v>
      </c>
      <c r="F102" s="499" t="s">
        <v>372</v>
      </c>
      <c r="G102" s="282"/>
      <c r="H102" s="510" t="s">
        <v>78</v>
      </c>
      <c r="I102" s="13" t="s">
        <v>192</v>
      </c>
      <c r="J102" s="502" t="s">
        <v>369</v>
      </c>
      <c r="K102" s="507"/>
      <c r="L102" s="507">
        <v>1.83</v>
      </c>
      <c r="M102" s="507">
        <v>1.83</v>
      </c>
      <c r="N102" s="505">
        <v>1</v>
      </c>
      <c r="O102" s="505"/>
      <c r="P102" s="13" t="s">
        <v>572</v>
      </c>
      <c r="Q102" s="13" t="s">
        <v>572</v>
      </c>
      <c r="R102" s="13" t="s">
        <v>460</v>
      </c>
      <c r="S102" s="18" t="s">
        <v>100</v>
      </c>
      <c r="T102" s="18">
        <v>0</v>
      </c>
      <c r="U102" s="18"/>
      <c r="V102" s="18"/>
      <c r="W102" s="18">
        <f t="shared" si="3"/>
        <v>0</v>
      </c>
      <c r="X102" s="18"/>
      <c r="Y102" s="18"/>
      <c r="Z102" s="21"/>
    </row>
    <row r="103" spans="1:26">
      <c r="C103" s="273"/>
      <c r="D103" s="273"/>
      <c r="E103" s="18" t="s">
        <v>1217</v>
      </c>
      <c r="F103" s="499" t="s">
        <v>372</v>
      </c>
      <c r="G103" s="282" t="s">
        <v>1859</v>
      </c>
      <c r="H103" s="510" t="s">
        <v>370</v>
      </c>
      <c r="I103" s="13" t="s">
        <v>1364</v>
      </c>
      <c r="J103" s="34" t="s">
        <v>879</v>
      </c>
      <c r="K103" s="13" t="s">
        <v>990</v>
      </c>
      <c r="L103" s="13">
        <v>32.78</v>
      </c>
      <c r="M103" s="13">
        <v>32.78</v>
      </c>
      <c r="N103" s="196">
        <v>5</v>
      </c>
      <c r="P103" s="13" t="s">
        <v>268</v>
      </c>
      <c r="Q103" s="13" t="s">
        <v>269</v>
      </c>
      <c r="R103" s="13" t="s">
        <v>460</v>
      </c>
      <c r="S103" s="15" t="s">
        <v>360</v>
      </c>
      <c r="T103" s="18">
        <v>0</v>
      </c>
      <c r="U103" s="18"/>
      <c r="V103" s="18"/>
      <c r="W103" s="18">
        <f t="shared" si="3"/>
        <v>0</v>
      </c>
      <c r="X103" s="18"/>
      <c r="Y103" s="18"/>
      <c r="Z103" s="21"/>
    </row>
    <row r="104" spans="1:26">
      <c r="C104" s="273"/>
      <c r="D104" s="273"/>
      <c r="E104" s="18" t="s">
        <v>1217</v>
      </c>
      <c r="F104" s="499" t="s">
        <v>372</v>
      </c>
      <c r="G104" s="282" t="s">
        <v>1859</v>
      </c>
      <c r="H104" s="510" t="s">
        <v>370</v>
      </c>
      <c r="I104" s="13" t="s">
        <v>249</v>
      </c>
      <c r="J104" s="34" t="s">
        <v>374</v>
      </c>
      <c r="K104" s="13" t="s">
        <v>991</v>
      </c>
      <c r="L104" s="13">
        <v>32.78</v>
      </c>
      <c r="M104" s="13">
        <v>32.78</v>
      </c>
      <c r="N104" s="196">
        <v>5</v>
      </c>
      <c r="P104" s="13" t="s">
        <v>268</v>
      </c>
      <c r="Q104" s="13" t="s">
        <v>269</v>
      </c>
      <c r="R104" s="13" t="s">
        <v>460</v>
      </c>
      <c r="S104" s="15" t="s">
        <v>360</v>
      </c>
      <c r="T104" s="18">
        <v>0</v>
      </c>
      <c r="U104" s="18"/>
      <c r="V104" s="18"/>
      <c r="W104" s="18">
        <f t="shared" si="3"/>
        <v>0</v>
      </c>
      <c r="X104" s="18"/>
      <c r="Y104" s="18"/>
      <c r="Z104" s="21"/>
    </row>
    <row r="105" spans="1:26">
      <c r="A105">
        <f>SUM(L79:L124)</f>
        <v>1305.45</v>
      </c>
      <c r="C105" s="273"/>
      <c r="D105" s="273"/>
      <c r="E105" s="18" t="s">
        <v>1217</v>
      </c>
      <c r="F105" s="499" t="s">
        <v>372</v>
      </c>
      <c r="G105" s="282" t="s">
        <v>1859</v>
      </c>
      <c r="H105" s="510" t="s">
        <v>370</v>
      </c>
      <c r="I105" s="13" t="s">
        <v>596</v>
      </c>
      <c r="J105" s="34" t="s">
        <v>1582</v>
      </c>
      <c r="K105" s="13" t="s">
        <v>992</v>
      </c>
      <c r="L105" s="13">
        <v>49.7</v>
      </c>
      <c r="M105" s="13">
        <v>49.7</v>
      </c>
      <c r="N105" s="196">
        <v>25</v>
      </c>
      <c r="P105" s="13" t="s">
        <v>268</v>
      </c>
      <c r="Q105" s="13" t="s">
        <v>269</v>
      </c>
      <c r="R105" s="13" t="s">
        <v>460</v>
      </c>
      <c r="S105" s="15" t="s">
        <v>360</v>
      </c>
      <c r="T105" s="18">
        <v>0</v>
      </c>
      <c r="U105" s="18"/>
      <c r="V105" s="18"/>
      <c r="W105" s="18">
        <f t="shared" si="3"/>
        <v>0</v>
      </c>
      <c r="X105" s="18"/>
      <c r="Y105" s="18"/>
      <c r="Z105" s="21"/>
    </row>
    <row r="106" spans="1:26">
      <c r="C106" s="273"/>
      <c r="D106" s="273"/>
      <c r="E106" s="18" t="s">
        <v>1217</v>
      </c>
      <c r="F106" s="499" t="s">
        <v>372</v>
      </c>
      <c r="G106" s="282" t="s">
        <v>1859</v>
      </c>
      <c r="H106" s="510" t="s">
        <v>370</v>
      </c>
      <c r="I106" s="13" t="s">
        <v>596</v>
      </c>
      <c r="J106" s="59" t="s">
        <v>1583</v>
      </c>
      <c r="K106" s="13" t="s">
        <v>993</v>
      </c>
      <c r="L106" s="13">
        <v>49.7</v>
      </c>
      <c r="M106" s="13">
        <v>49.7</v>
      </c>
      <c r="N106" s="196">
        <v>40</v>
      </c>
      <c r="P106" s="13" t="s">
        <v>268</v>
      </c>
      <c r="Q106" s="13" t="s">
        <v>269</v>
      </c>
      <c r="R106" s="13" t="s">
        <v>460</v>
      </c>
      <c r="S106" s="15" t="s">
        <v>360</v>
      </c>
      <c r="T106" s="18">
        <v>0</v>
      </c>
      <c r="U106" s="18"/>
      <c r="V106" s="18"/>
      <c r="W106" s="18">
        <f t="shared" si="3"/>
        <v>0</v>
      </c>
      <c r="X106" s="18"/>
      <c r="Y106" s="18"/>
      <c r="Z106" s="21"/>
    </row>
    <row r="107" spans="1:26">
      <c r="C107" s="273"/>
      <c r="D107" s="273"/>
      <c r="E107" s="18" t="s">
        <v>1217</v>
      </c>
      <c r="F107" s="499" t="s">
        <v>372</v>
      </c>
      <c r="G107" s="282" t="s">
        <v>1859</v>
      </c>
      <c r="H107" s="510" t="s">
        <v>370</v>
      </c>
      <c r="I107" s="13" t="s">
        <v>596</v>
      </c>
      <c r="J107" s="59" t="s">
        <v>1584</v>
      </c>
      <c r="K107" s="13" t="s">
        <v>994</v>
      </c>
      <c r="L107" s="13">
        <v>49.7</v>
      </c>
      <c r="M107" s="13">
        <v>49.7</v>
      </c>
      <c r="N107" s="196">
        <v>40</v>
      </c>
      <c r="P107" s="13" t="s">
        <v>268</v>
      </c>
      <c r="Q107" s="13" t="s">
        <v>269</v>
      </c>
      <c r="R107" s="13" t="s">
        <v>460</v>
      </c>
      <c r="S107" s="15" t="s">
        <v>360</v>
      </c>
      <c r="T107" s="18">
        <v>0</v>
      </c>
      <c r="U107" s="18"/>
      <c r="V107" s="18"/>
      <c r="W107" s="18">
        <f t="shared" si="3"/>
        <v>0</v>
      </c>
      <c r="X107" s="18"/>
      <c r="Y107" s="18"/>
      <c r="Z107" s="21"/>
    </row>
    <row r="108" spans="1:26">
      <c r="C108" s="273"/>
      <c r="D108" s="273"/>
      <c r="E108" s="18" t="s">
        <v>1217</v>
      </c>
      <c r="F108" s="499" t="s">
        <v>372</v>
      </c>
      <c r="G108" s="282" t="s">
        <v>1859</v>
      </c>
      <c r="H108" s="510" t="s">
        <v>370</v>
      </c>
      <c r="I108" s="13" t="s">
        <v>596</v>
      </c>
      <c r="J108" s="34" t="s">
        <v>377</v>
      </c>
      <c r="K108" s="13" t="s">
        <v>995</v>
      </c>
      <c r="L108" s="13">
        <v>49.7</v>
      </c>
      <c r="M108" s="13">
        <v>49.7</v>
      </c>
      <c r="N108" s="196">
        <v>20</v>
      </c>
      <c r="P108" s="13" t="s">
        <v>268</v>
      </c>
      <c r="Q108" s="13" t="s">
        <v>269</v>
      </c>
      <c r="R108" s="13" t="s">
        <v>460</v>
      </c>
      <c r="S108" s="15" t="s">
        <v>360</v>
      </c>
      <c r="T108" s="18">
        <v>0</v>
      </c>
      <c r="U108" s="18"/>
      <c r="V108" s="18"/>
      <c r="W108" s="18">
        <f t="shared" si="3"/>
        <v>0</v>
      </c>
      <c r="X108" s="18"/>
      <c r="Y108" s="18"/>
      <c r="Z108" s="21"/>
    </row>
    <row r="109" spans="1:26">
      <c r="C109" s="273"/>
      <c r="D109" s="273"/>
      <c r="E109" s="18" t="s">
        <v>1217</v>
      </c>
      <c r="F109" s="499" t="s">
        <v>372</v>
      </c>
      <c r="G109" s="282" t="s">
        <v>1859</v>
      </c>
      <c r="H109" s="510" t="s">
        <v>370</v>
      </c>
      <c r="I109" s="13" t="s">
        <v>249</v>
      </c>
      <c r="J109" s="34" t="s">
        <v>1003</v>
      </c>
      <c r="K109" s="13" t="s">
        <v>996</v>
      </c>
      <c r="L109" s="13">
        <v>21.62</v>
      </c>
      <c r="M109" s="13">
        <v>21.62</v>
      </c>
      <c r="N109" s="196">
        <v>4</v>
      </c>
      <c r="P109" s="13" t="s">
        <v>268</v>
      </c>
      <c r="Q109" s="13" t="s">
        <v>269</v>
      </c>
      <c r="R109" s="13" t="s">
        <v>460</v>
      </c>
      <c r="S109" s="15" t="s">
        <v>360</v>
      </c>
      <c r="T109" s="18">
        <v>0</v>
      </c>
      <c r="U109" s="18"/>
      <c r="V109" s="18"/>
      <c r="W109" s="18">
        <f t="shared" si="3"/>
        <v>0</v>
      </c>
      <c r="X109" s="18"/>
      <c r="Y109" s="18"/>
      <c r="Z109" s="21"/>
    </row>
    <row r="110" spans="1:26" ht="30">
      <c r="C110" s="273"/>
      <c r="D110" s="273"/>
      <c r="E110" s="18" t="s">
        <v>1217</v>
      </c>
      <c r="F110" s="499" t="s">
        <v>372</v>
      </c>
      <c r="G110" s="282" t="s">
        <v>1859</v>
      </c>
      <c r="H110" s="510" t="s">
        <v>370</v>
      </c>
      <c r="I110" s="13" t="s">
        <v>208</v>
      </c>
      <c r="J110" s="34" t="s">
        <v>1585</v>
      </c>
      <c r="K110" s="13" t="s">
        <v>997</v>
      </c>
      <c r="L110" s="13">
        <v>21.62</v>
      </c>
      <c r="M110" s="13">
        <v>21.62</v>
      </c>
      <c r="N110" s="196">
        <v>4</v>
      </c>
      <c r="P110" s="13" t="s">
        <v>268</v>
      </c>
      <c r="Q110" s="13" t="s">
        <v>269</v>
      </c>
      <c r="R110" s="13" t="s">
        <v>460</v>
      </c>
      <c r="S110" s="15" t="s">
        <v>360</v>
      </c>
      <c r="T110" s="18">
        <v>0</v>
      </c>
      <c r="U110" s="18"/>
      <c r="V110" s="18"/>
      <c r="W110" s="18">
        <f t="shared" si="3"/>
        <v>0</v>
      </c>
      <c r="X110" s="18"/>
      <c r="Y110" s="18"/>
      <c r="Z110" s="21"/>
    </row>
    <row r="111" spans="1:26" ht="30">
      <c r="C111" s="273"/>
      <c r="D111" s="273"/>
      <c r="E111" s="18" t="s">
        <v>1217</v>
      </c>
      <c r="F111" s="499" t="s">
        <v>372</v>
      </c>
      <c r="G111" s="282" t="s">
        <v>1859</v>
      </c>
      <c r="H111" s="510" t="s">
        <v>370</v>
      </c>
      <c r="I111" s="13" t="s">
        <v>208</v>
      </c>
      <c r="J111" s="34" t="s">
        <v>1586</v>
      </c>
      <c r="K111" s="13" t="s">
        <v>998</v>
      </c>
      <c r="L111" s="13">
        <v>21.62</v>
      </c>
      <c r="M111" s="13">
        <v>21.62</v>
      </c>
      <c r="N111" s="196">
        <v>4</v>
      </c>
      <c r="P111" s="13" t="s">
        <v>268</v>
      </c>
      <c r="Q111" s="13" t="s">
        <v>269</v>
      </c>
      <c r="R111" s="13" t="s">
        <v>460</v>
      </c>
      <c r="S111" s="15" t="s">
        <v>360</v>
      </c>
      <c r="T111" s="18">
        <v>0</v>
      </c>
      <c r="U111" s="18"/>
      <c r="V111" s="18"/>
      <c r="W111" s="18">
        <f t="shared" si="3"/>
        <v>0</v>
      </c>
      <c r="X111" s="18"/>
      <c r="Y111" s="18"/>
      <c r="Z111" s="21"/>
    </row>
    <row r="112" spans="1:26" ht="30">
      <c r="C112" s="273"/>
      <c r="D112" s="273"/>
      <c r="E112" s="18" t="s">
        <v>1217</v>
      </c>
      <c r="F112" s="499" t="s">
        <v>372</v>
      </c>
      <c r="G112" s="282" t="s">
        <v>1859</v>
      </c>
      <c r="H112" s="510" t="s">
        <v>370</v>
      </c>
      <c r="I112" s="13" t="s">
        <v>208</v>
      </c>
      <c r="J112" s="59" t="s">
        <v>1587</v>
      </c>
      <c r="K112" s="13" t="s">
        <v>999</v>
      </c>
      <c r="L112" s="13">
        <v>21.62</v>
      </c>
      <c r="M112" s="13">
        <v>21.62</v>
      </c>
      <c r="N112" s="196">
        <v>4</v>
      </c>
      <c r="P112" s="13" t="s">
        <v>268</v>
      </c>
      <c r="Q112" s="13" t="s">
        <v>269</v>
      </c>
      <c r="R112" s="13" t="s">
        <v>460</v>
      </c>
      <c r="S112" s="15" t="s">
        <v>360</v>
      </c>
      <c r="T112" s="18">
        <v>0</v>
      </c>
      <c r="U112" s="18"/>
      <c r="V112" s="18"/>
      <c r="W112" s="18">
        <f t="shared" si="3"/>
        <v>0</v>
      </c>
      <c r="X112" s="18"/>
      <c r="Y112" s="18"/>
      <c r="Z112" s="21"/>
    </row>
    <row r="113" spans="2:26" ht="30">
      <c r="C113" s="273"/>
      <c r="D113" s="273"/>
      <c r="E113" s="18" t="s">
        <v>1217</v>
      </c>
      <c r="F113" s="499" t="s">
        <v>372</v>
      </c>
      <c r="G113" s="282" t="s">
        <v>1859</v>
      </c>
      <c r="H113" s="510" t="s">
        <v>370</v>
      </c>
      <c r="I113" s="13" t="s">
        <v>208</v>
      </c>
      <c r="J113" s="34" t="s">
        <v>1588</v>
      </c>
      <c r="K113" s="13" t="s">
        <v>1000</v>
      </c>
      <c r="L113" s="13">
        <v>21.62</v>
      </c>
      <c r="M113" s="13">
        <v>21.62</v>
      </c>
      <c r="N113" s="196">
        <v>4</v>
      </c>
      <c r="P113" s="13" t="s">
        <v>268</v>
      </c>
      <c r="Q113" s="13" t="s">
        <v>269</v>
      </c>
      <c r="R113" s="13" t="s">
        <v>460</v>
      </c>
      <c r="S113" s="15" t="s">
        <v>360</v>
      </c>
      <c r="T113" s="18">
        <v>0</v>
      </c>
      <c r="U113" s="18"/>
      <c r="V113" s="18"/>
      <c r="W113" s="18">
        <f t="shared" si="3"/>
        <v>0</v>
      </c>
      <c r="X113" s="18"/>
      <c r="Y113" s="18"/>
      <c r="Z113" s="21"/>
    </row>
    <row r="114" spans="2:26" ht="30">
      <c r="C114" s="273"/>
      <c r="D114" s="273"/>
      <c r="E114" s="18" t="s">
        <v>1217</v>
      </c>
      <c r="F114" s="499" t="s">
        <v>372</v>
      </c>
      <c r="G114" s="282" t="s">
        <v>1859</v>
      </c>
      <c r="H114" s="510" t="s">
        <v>370</v>
      </c>
      <c r="I114" s="13" t="s">
        <v>208</v>
      </c>
      <c r="J114" s="59" t="s">
        <v>1589</v>
      </c>
      <c r="K114" s="13" t="s">
        <v>1001</v>
      </c>
      <c r="L114" s="13">
        <v>21.62</v>
      </c>
      <c r="M114" s="13">
        <v>21.62</v>
      </c>
      <c r="N114" s="196">
        <v>4</v>
      </c>
      <c r="P114" s="13" t="s">
        <v>268</v>
      </c>
      <c r="Q114" s="13" t="s">
        <v>269</v>
      </c>
      <c r="R114" s="13" t="s">
        <v>460</v>
      </c>
      <c r="S114" s="15" t="s">
        <v>360</v>
      </c>
      <c r="T114" s="18">
        <v>0</v>
      </c>
      <c r="U114" s="18"/>
      <c r="V114" s="18"/>
      <c r="W114" s="18">
        <f t="shared" si="3"/>
        <v>0</v>
      </c>
      <c r="X114" s="18"/>
      <c r="Y114" s="18"/>
      <c r="Z114" s="21"/>
    </row>
    <row r="115" spans="2:26" ht="30">
      <c r="C115" s="273"/>
      <c r="D115" s="273"/>
      <c r="E115" s="18" t="s">
        <v>1217</v>
      </c>
      <c r="F115" s="499" t="s">
        <v>372</v>
      </c>
      <c r="G115" s="282" t="s">
        <v>1859</v>
      </c>
      <c r="H115" s="510" t="s">
        <v>370</v>
      </c>
      <c r="I115" s="13" t="s">
        <v>208</v>
      </c>
      <c r="J115" s="34" t="s">
        <v>1590</v>
      </c>
      <c r="K115" s="13" t="s">
        <v>1002</v>
      </c>
      <c r="L115" s="13">
        <v>21.62</v>
      </c>
      <c r="M115" s="13">
        <v>21.62</v>
      </c>
      <c r="N115" s="196">
        <v>4</v>
      </c>
      <c r="P115" s="13" t="s">
        <v>268</v>
      </c>
      <c r="Q115" s="13" t="s">
        <v>269</v>
      </c>
      <c r="R115" s="13" t="s">
        <v>460</v>
      </c>
      <c r="S115" s="15" t="s">
        <v>360</v>
      </c>
      <c r="T115" s="18">
        <v>0</v>
      </c>
      <c r="U115" s="18"/>
      <c r="V115" s="18"/>
      <c r="W115" s="18">
        <f t="shared" si="3"/>
        <v>0</v>
      </c>
      <c r="X115" s="18"/>
      <c r="Y115" s="18"/>
      <c r="Z115" s="21"/>
    </row>
    <row r="116" spans="2:26">
      <c r="C116" s="273"/>
      <c r="D116" s="273"/>
      <c r="E116" s="18" t="s">
        <v>1217</v>
      </c>
      <c r="F116" s="499" t="s">
        <v>372</v>
      </c>
      <c r="G116" s="282"/>
      <c r="H116" s="510" t="s">
        <v>370</v>
      </c>
      <c r="I116" s="13" t="s">
        <v>192</v>
      </c>
      <c r="J116" s="502" t="s">
        <v>367</v>
      </c>
      <c r="K116" s="507"/>
      <c r="L116" s="507">
        <v>31.37</v>
      </c>
      <c r="M116" s="507">
        <v>31.37</v>
      </c>
      <c r="N116" s="505">
        <v>7</v>
      </c>
      <c r="O116" s="505"/>
      <c r="P116" s="13" t="s">
        <v>572</v>
      </c>
      <c r="Q116" s="13" t="s">
        <v>572</v>
      </c>
      <c r="R116" s="13" t="s">
        <v>460</v>
      </c>
      <c r="S116" s="18" t="s">
        <v>100</v>
      </c>
      <c r="T116" s="18">
        <v>0</v>
      </c>
      <c r="U116" s="18"/>
      <c r="V116" s="18"/>
      <c r="W116" s="18">
        <f t="shared" si="3"/>
        <v>0</v>
      </c>
      <c r="X116" s="18"/>
      <c r="Y116" s="18"/>
      <c r="Z116" s="21"/>
    </row>
    <row r="117" spans="2:26">
      <c r="C117" s="273"/>
      <c r="D117" s="273"/>
      <c r="E117" s="18" t="s">
        <v>1217</v>
      </c>
      <c r="F117" s="499" t="s">
        <v>372</v>
      </c>
      <c r="G117" s="282"/>
      <c r="H117" s="510" t="s">
        <v>370</v>
      </c>
      <c r="I117" s="13" t="s">
        <v>192</v>
      </c>
      <c r="J117" s="502" t="s">
        <v>368</v>
      </c>
      <c r="K117" s="507"/>
      <c r="L117" s="507">
        <v>31.37</v>
      </c>
      <c r="M117" s="507">
        <v>31.37</v>
      </c>
      <c r="N117" s="505">
        <v>5</v>
      </c>
      <c r="O117" s="505"/>
      <c r="P117" s="13" t="s">
        <v>572</v>
      </c>
      <c r="Q117" s="13" t="s">
        <v>572</v>
      </c>
      <c r="R117" s="13" t="s">
        <v>460</v>
      </c>
      <c r="S117" s="18" t="s">
        <v>100</v>
      </c>
      <c r="T117" s="18">
        <v>0</v>
      </c>
      <c r="U117" s="18"/>
      <c r="V117" s="18"/>
      <c r="W117" s="18">
        <f t="shared" si="3"/>
        <v>0</v>
      </c>
      <c r="X117" s="18"/>
      <c r="Y117" s="18"/>
      <c r="Z117" s="21"/>
    </row>
    <row r="118" spans="2:26">
      <c r="C118" s="273"/>
      <c r="D118" s="273"/>
      <c r="E118" s="18" t="s">
        <v>1217</v>
      </c>
      <c r="F118" s="499" t="s">
        <v>372</v>
      </c>
      <c r="G118" s="282"/>
      <c r="H118" s="510" t="s">
        <v>370</v>
      </c>
      <c r="I118" s="13" t="s">
        <v>27</v>
      </c>
      <c r="J118" s="502" t="s">
        <v>1397</v>
      </c>
      <c r="K118" s="507"/>
      <c r="L118" s="507">
        <v>2.31</v>
      </c>
      <c r="M118" s="507">
        <v>2.31</v>
      </c>
      <c r="N118" s="505">
        <v>1</v>
      </c>
      <c r="O118" s="505"/>
      <c r="P118" s="13" t="s">
        <v>572</v>
      </c>
      <c r="Q118" s="13" t="s">
        <v>572</v>
      </c>
      <c r="R118" s="13" t="s">
        <v>460</v>
      </c>
      <c r="S118" s="18" t="s">
        <v>100</v>
      </c>
      <c r="T118" s="18">
        <v>0</v>
      </c>
      <c r="U118" s="18"/>
      <c r="V118" s="18"/>
      <c r="W118" s="18">
        <f t="shared" si="3"/>
        <v>0</v>
      </c>
      <c r="X118" s="18"/>
      <c r="Y118" s="18"/>
      <c r="Z118" s="21"/>
    </row>
    <row r="119" spans="2:26">
      <c r="C119" s="273"/>
      <c r="D119" s="273"/>
      <c r="E119" s="18" t="s">
        <v>1217</v>
      </c>
      <c r="F119" s="499" t="s">
        <v>372</v>
      </c>
      <c r="G119" s="282"/>
      <c r="H119" s="510" t="s">
        <v>370</v>
      </c>
      <c r="I119" s="13" t="s">
        <v>1371</v>
      </c>
      <c r="J119" s="164" t="s">
        <v>1875</v>
      </c>
      <c r="K119" s="74"/>
      <c r="L119" s="74">
        <v>10.46</v>
      </c>
      <c r="M119" s="74">
        <v>10.46</v>
      </c>
      <c r="N119" s="94">
        <v>1</v>
      </c>
      <c r="O119" s="94"/>
      <c r="P119" s="13" t="s">
        <v>572</v>
      </c>
      <c r="Q119" s="13" t="s">
        <v>572</v>
      </c>
      <c r="R119" s="13" t="s">
        <v>464</v>
      </c>
      <c r="S119" s="18" t="s">
        <v>100</v>
      </c>
      <c r="T119" s="18">
        <v>0</v>
      </c>
      <c r="U119" s="18"/>
      <c r="V119" s="18"/>
      <c r="W119" s="18">
        <f t="shared" si="3"/>
        <v>0</v>
      </c>
      <c r="X119" s="18"/>
      <c r="Y119" s="18"/>
      <c r="Z119" s="21"/>
    </row>
    <row r="120" spans="2:26">
      <c r="C120" s="273"/>
      <c r="D120" s="273"/>
      <c r="E120" s="18" t="s">
        <v>1217</v>
      </c>
      <c r="F120" s="499" t="s">
        <v>372</v>
      </c>
      <c r="G120" s="282" t="s">
        <v>389</v>
      </c>
      <c r="H120" s="510" t="s">
        <v>370</v>
      </c>
      <c r="I120" s="195" t="s">
        <v>1370</v>
      </c>
      <c r="J120" s="502" t="s">
        <v>198</v>
      </c>
      <c r="K120" s="507"/>
      <c r="L120" s="507">
        <v>3.6</v>
      </c>
      <c r="M120" s="507">
        <v>3.6</v>
      </c>
      <c r="N120" s="505">
        <v>0</v>
      </c>
      <c r="O120" s="505"/>
      <c r="P120" s="13" t="s">
        <v>572</v>
      </c>
      <c r="Q120" s="13" t="s">
        <v>572</v>
      </c>
      <c r="R120" s="13" t="s">
        <v>464</v>
      </c>
      <c r="S120" s="18" t="s">
        <v>100</v>
      </c>
      <c r="T120" s="18">
        <v>0</v>
      </c>
      <c r="U120" s="18"/>
      <c r="V120" s="18"/>
      <c r="W120" s="18">
        <f t="shared" si="3"/>
        <v>0</v>
      </c>
      <c r="X120" s="18"/>
      <c r="Y120" s="18"/>
      <c r="Z120" s="21"/>
    </row>
    <row r="121" spans="2:26">
      <c r="C121" s="273"/>
      <c r="D121" s="273"/>
      <c r="E121" s="18" t="s">
        <v>1217</v>
      </c>
      <c r="F121" s="499" t="s">
        <v>372</v>
      </c>
      <c r="G121" s="282"/>
      <c r="H121" s="510" t="s">
        <v>370</v>
      </c>
      <c r="I121" s="13" t="s">
        <v>355</v>
      </c>
      <c r="J121" s="502" t="s">
        <v>217</v>
      </c>
      <c r="K121" s="507"/>
      <c r="L121" s="507">
        <v>12.86</v>
      </c>
      <c r="M121" s="507">
        <v>12.86</v>
      </c>
      <c r="N121" s="505">
        <v>2</v>
      </c>
      <c r="O121" s="505"/>
      <c r="P121" s="13" t="s">
        <v>572</v>
      </c>
      <c r="Q121" s="13" t="s">
        <v>572</v>
      </c>
      <c r="R121" s="13" t="s">
        <v>460</v>
      </c>
      <c r="S121" s="18" t="s">
        <v>100</v>
      </c>
      <c r="T121" s="18">
        <v>0</v>
      </c>
      <c r="U121" s="18"/>
      <c r="V121" s="18"/>
      <c r="W121" s="18">
        <f t="shared" si="3"/>
        <v>0</v>
      </c>
      <c r="X121" s="18"/>
      <c r="Y121" s="18"/>
      <c r="Z121" s="21"/>
    </row>
    <row r="122" spans="2:26">
      <c r="C122" s="273"/>
      <c r="D122" s="273"/>
      <c r="E122" s="18" t="s">
        <v>1217</v>
      </c>
      <c r="F122" s="499" t="s">
        <v>372</v>
      </c>
      <c r="G122" s="282"/>
      <c r="H122" s="510" t="s">
        <v>370</v>
      </c>
      <c r="I122" s="13" t="s">
        <v>192</v>
      </c>
      <c r="J122" s="502" t="s">
        <v>369</v>
      </c>
      <c r="K122" s="507"/>
      <c r="L122" s="507">
        <v>1.83</v>
      </c>
      <c r="M122" s="507">
        <v>1.83</v>
      </c>
      <c r="N122" s="505">
        <v>1</v>
      </c>
      <c r="O122" s="505"/>
      <c r="P122" s="13" t="s">
        <v>572</v>
      </c>
      <c r="Q122" s="13" t="s">
        <v>572</v>
      </c>
      <c r="R122" s="13" t="s">
        <v>460</v>
      </c>
      <c r="S122" s="18" t="s">
        <v>100</v>
      </c>
      <c r="T122" s="18">
        <v>0</v>
      </c>
      <c r="U122" s="18"/>
      <c r="V122" s="18"/>
      <c r="W122" s="18">
        <f t="shared" si="3"/>
        <v>0</v>
      </c>
      <c r="X122" s="18"/>
      <c r="Y122" s="18"/>
      <c r="Z122" s="21"/>
    </row>
    <row r="123" spans="2:26">
      <c r="C123" s="273"/>
      <c r="D123" s="273"/>
      <c r="E123" s="18" t="s">
        <v>1217</v>
      </c>
      <c r="F123" s="499" t="s">
        <v>372</v>
      </c>
      <c r="G123" s="282"/>
      <c r="H123" s="510" t="s">
        <v>370</v>
      </c>
      <c r="I123" s="13" t="s">
        <v>192</v>
      </c>
      <c r="J123" s="502" t="s">
        <v>369</v>
      </c>
      <c r="K123" s="507"/>
      <c r="L123" s="507">
        <v>1.83</v>
      </c>
      <c r="M123" s="507">
        <v>1.83</v>
      </c>
      <c r="N123" s="505">
        <v>1</v>
      </c>
      <c r="O123" s="505"/>
      <c r="P123" s="13" t="s">
        <v>572</v>
      </c>
      <c r="Q123" s="13" t="s">
        <v>572</v>
      </c>
      <c r="R123" s="13" t="s">
        <v>460</v>
      </c>
      <c r="S123" s="18" t="s">
        <v>100</v>
      </c>
      <c r="T123" s="18">
        <v>0</v>
      </c>
      <c r="U123" s="18"/>
      <c r="V123" s="18"/>
      <c r="W123" s="18">
        <f t="shared" si="3"/>
        <v>0</v>
      </c>
      <c r="X123" s="18"/>
      <c r="Y123" s="18"/>
      <c r="Z123" s="21"/>
    </row>
    <row r="124" spans="2:26">
      <c r="C124" s="274"/>
      <c r="D124" s="274"/>
      <c r="E124" s="18" t="s">
        <v>1217</v>
      </c>
      <c r="F124" s="499" t="s">
        <v>372</v>
      </c>
      <c r="G124" s="282"/>
      <c r="H124" s="510" t="s">
        <v>370</v>
      </c>
      <c r="I124" s="297" t="s">
        <v>194</v>
      </c>
      <c r="J124" s="502" t="s">
        <v>461</v>
      </c>
      <c r="K124" s="507"/>
      <c r="L124" s="507">
        <f>142.3*2+10.81</f>
        <v>295.41000000000003</v>
      </c>
      <c r="M124" s="507">
        <f>142.3*2+10.81</f>
        <v>295.41000000000003</v>
      </c>
      <c r="N124" s="505">
        <v>0</v>
      </c>
      <c r="O124" s="505"/>
      <c r="P124" s="13" t="s">
        <v>268</v>
      </c>
      <c r="Q124" s="13" t="s">
        <v>269</v>
      </c>
      <c r="R124" s="13" t="s">
        <v>460</v>
      </c>
      <c r="S124" s="15" t="s">
        <v>360</v>
      </c>
      <c r="T124" s="18">
        <v>0</v>
      </c>
      <c r="U124" s="18"/>
      <c r="V124" s="18"/>
      <c r="W124" s="18">
        <f t="shared" si="3"/>
        <v>0</v>
      </c>
      <c r="X124" s="18"/>
      <c r="Y124" s="18"/>
      <c r="Z124" s="21"/>
    </row>
    <row r="125" spans="2:26" ht="30">
      <c r="C125" s="268" t="s">
        <v>1222</v>
      </c>
      <c r="D125" s="268" t="s">
        <v>1222</v>
      </c>
      <c r="E125" s="18" t="s">
        <v>1217</v>
      </c>
      <c r="F125" s="508" t="s">
        <v>255</v>
      </c>
      <c r="G125" s="283" t="s">
        <v>1858</v>
      </c>
      <c r="H125" s="500" t="s">
        <v>77</v>
      </c>
      <c r="I125" s="13" t="s">
        <v>249</v>
      </c>
      <c r="J125" s="164" t="s">
        <v>1870</v>
      </c>
      <c r="K125" s="74" t="s">
        <v>1597</v>
      </c>
      <c r="L125" s="161">
        <v>27.2</v>
      </c>
      <c r="M125" s="161">
        <v>27.2</v>
      </c>
      <c r="N125" s="94">
        <v>0</v>
      </c>
      <c r="O125" s="94"/>
      <c r="P125" s="13" t="s">
        <v>268</v>
      </c>
      <c r="Q125" s="13" t="s">
        <v>269</v>
      </c>
      <c r="R125" s="13" t="s">
        <v>269</v>
      </c>
      <c r="S125" s="15" t="s">
        <v>360</v>
      </c>
      <c r="T125" s="18">
        <v>0</v>
      </c>
      <c r="U125" s="18"/>
      <c r="V125" s="18"/>
      <c r="W125" s="18">
        <f t="shared" si="3"/>
        <v>0</v>
      </c>
      <c r="X125" s="18"/>
      <c r="Y125" s="18"/>
      <c r="Z125" s="275" t="e">
        <f>SUM(#REF!)</f>
        <v>#REF!</v>
      </c>
    </row>
    <row r="126" spans="2:26">
      <c r="B126" s="2"/>
      <c r="C126" s="270"/>
      <c r="D126" s="270"/>
      <c r="E126" s="18" t="s">
        <v>1217</v>
      </c>
      <c r="F126" s="508" t="s">
        <v>255</v>
      </c>
      <c r="G126" s="283" t="s">
        <v>1858</v>
      </c>
      <c r="H126" s="500" t="s">
        <v>77</v>
      </c>
      <c r="I126" s="13" t="s">
        <v>593</v>
      </c>
      <c r="J126" s="34" t="s">
        <v>1871</v>
      </c>
      <c r="K126" s="13" t="s">
        <v>1073</v>
      </c>
      <c r="L126" s="92">
        <v>74.55</v>
      </c>
      <c r="M126" s="92">
        <f>L126-4.05-2.8</f>
        <v>67.7</v>
      </c>
      <c r="N126" s="196">
        <v>25</v>
      </c>
      <c r="P126" s="13" t="s">
        <v>268</v>
      </c>
      <c r="Q126" s="13" t="s">
        <v>269</v>
      </c>
      <c r="R126" s="13" t="s">
        <v>269</v>
      </c>
      <c r="S126" s="15" t="s">
        <v>360</v>
      </c>
      <c r="T126" s="18">
        <v>0</v>
      </c>
      <c r="U126" s="18"/>
      <c r="V126" s="18"/>
      <c r="W126" s="18">
        <f t="shared" ref="W126:W133" si="4">AVERAGE(T126:V126)</f>
        <v>0</v>
      </c>
      <c r="X126" s="18"/>
      <c r="Y126" s="18"/>
      <c r="Z126" s="275"/>
    </row>
    <row r="127" spans="2:26">
      <c r="C127" s="270"/>
      <c r="D127" s="270"/>
      <c r="E127" s="18" t="s">
        <v>1217</v>
      </c>
      <c r="F127" s="508" t="s">
        <v>255</v>
      </c>
      <c r="G127" s="283" t="s">
        <v>1858</v>
      </c>
      <c r="H127" s="500" t="s">
        <v>77</v>
      </c>
      <c r="I127" s="13" t="s">
        <v>593</v>
      </c>
      <c r="J127" s="34" t="s">
        <v>1872</v>
      </c>
      <c r="K127" s="13" t="s">
        <v>1073</v>
      </c>
      <c r="L127" s="92">
        <v>66.62</v>
      </c>
      <c r="M127" s="92">
        <f>L127-8.7-5.5-3.6</f>
        <v>48.82</v>
      </c>
      <c r="N127" s="196">
        <v>25</v>
      </c>
      <c r="P127" s="13" t="s">
        <v>268</v>
      </c>
      <c r="Q127" s="13" t="s">
        <v>269</v>
      </c>
      <c r="R127" s="13" t="s">
        <v>269</v>
      </c>
      <c r="S127" s="15" t="s">
        <v>360</v>
      </c>
      <c r="T127" s="18">
        <v>0</v>
      </c>
      <c r="U127" s="18"/>
      <c r="V127" s="18"/>
      <c r="W127" s="18">
        <f t="shared" si="4"/>
        <v>0</v>
      </c>
      <c r="X127" s="18"/>
      <c r="Y127" s="18"/>
      <c r="Z127" s="275"/>
    </row>
    <row r="128" spans="2:26">
      <c r="C128" s="270"/>
      <c r="D128" s="270"/>
      <c r="E128" s="18" t="s">
        <v>1217</v>
      </c>
      <c r="F128" s="508" t="s">
        <v>255</v>
      </c>
      <c r="G128" s="283" t="s">
        <v>1858</v>
      </c>
      <c r="H128" s="500" t="s">
        <v>77</v>
      </c>
      <c r="I128" s="13" t="s">
        <v>208</v>
      </c>
      <c r="J128" s="34" t="s">
        <v>252</v>
      </c>
      <c r="K128" s="13" t="s">
        <v>1074</v>
      </c>
      <c r="L128" s="92">
        <v>7.93</v>
      </c>
      <c r="M128" s="92">
        <v>7.93</v>
      </c>
      <c r="N128" s="196">
        <v>1</v>
      </c>
      <c r="P128" s="13" t="s">
        <v>268</v>
      </c>
      <c r="Q128" s="13" t="s">
        <v>269</v>
      </c>
      <c r="R128" s="13" t="s">
        <v>269</v>
      </c>
      <c r="S128" s="15" t="s">
        <v>360</v>
      </c>
      <c r="T128" s="18">
        <v>0</v>
      </c>
      <c r="U128" s="18"/>
      <c r="V128" s="18"/>
      <c r="W128" s="18">
        <f t="shared" si="4"/>
        <v>0</v>
      </c>
      <c r="X128" s="18"/>
      <c r="Y128" s="18"/>
      <c r="Z128" s="275"/>
    </row>
    <row r="129" spans="2:26">
      <c r="C129" s="270"/>
      <c r="D129" s="270"/>
      <c r="E129" s="18" t="s">
        <v>1217</v>
      </c>
      <c r="F129" s="508" t="s">
        <v>255</v>
      </c>
      <c r="G129" s="283" t="s">
        <v>1858</v>
      </c>
      <c r="H129" s="500" t="s">
        <v>77</v>
      </c>
      <c r="I129" s="13" t="s">
        <v>208</v>
      </c>
      <c r="J129" s="34" t="s">
        <v>252</v>
      </c>
      <c r="K129" s="13" t="s">
        <v>1075</v>
      </c>
      <c r="L129" s="92">
        <v>16.04</v>
      </c>
      <c r="M129" s="92">
        <v>16.04</v>
      </c>
      <c r="N129" s="196">
        <v>3</v>
      </c>
      <c r="O129" s="196" t="s">
        <v>1594</v>
      </c>
      <c r="P129" s="13" t="s">
        <v>268</v>
      </c>
      <c r="Q129" s="13" t="s">
        <v>269</v>
      </c>
      <c r="R129" s="13" t="s">
        <v>269</v>
      </c>
      <c r="S129" s="15" t="s">
        <v>360</v>
      </c>
      <c r="T129" s="18">
        <v>0</v>
      </c>
      <c r="U129" s="18"/>
      <c r="V129" s="18"/>
      <c r="W129" s="18">
        <f t="shared" si="4"/>
        <v>0</v>
      </c>
      <c r="X129" s="18"/>
      <c r="Y129" s="18"/>
      <c r="Z129" s="275"/>
    </row>
    <row r="130" spans="2:26">
      <c r="C130" s="270"/>
      <c r="D130" s="270"/>
      <c r="E130" s="18" t="s">
        <v>1217</v>
      </c>
      <c r="F130" s="508" t="s">
        <v>255</v>
      </c>
      <c r="G130" s="283" t="s">
        <v>1858</v>
      </c>
      <c r="H130" s="500" t="s">
        <v>77</v>
      </c>
      <c r="I130" s="13" t="s">
        <v>593</v>
      </c>
      <c r="J130" s="34" t="s">
        <v>259</v>
      </c>
      <c r="K130" s="13" t="s">
        <v>1076</v>
      </c>
      <c r="L130" s="92">
        <v>10.52</v>
      </c>
      <c r="M130" s="92">
        <f>L130-2.8</f>
        <v>7.72</v>
      </c>
      <c r="N130" s="196">
        <v>25</v>
      </c>
      <c r="P130" s="13" t="s">
        <v>268</v>
      </c>
      <c r="Q130" s="13" t="s">
        <v>269</v>
      </c>
      <c r="R130" s="13" t="s">
        <v>269</v>
      </c>
      <c r="S130" s="15" t="s">
        <v>360</v>
      </c>
      <c r="T130" s="18">
        <v>0</v>
      </c>
      <c r="U130" s="18"/>
      <c r="V130" s="18"/>
      <c r="W130" s="18">
        <f t="shared" si="4"/>
        <v>0</v>
      </c>
      <c r="X130" s="18"/>
      <c r="Y130" s="18"/>
      <c r="Z130" s="275"/>
    </row>
    <row r="131" spans="2:26">
      <c r="C131" s="270"/>
      <c r="D131" s="270"/>
      <c r="E131" s="18" t="s">
        <v>1217</v>
      </c>
      <c r="F131" s="508" t="s">
        <v>255</v>
      </c>
      <c r="G131" s="283" t="s">
        <v>1858</v>
      </c>
      <c r="H131" s="500" t="s">
        <v>77</v>
      </c>
      <c r="I131" s="13" t="s">
        <v>593</v>
      </c>
      <c r="J131" s="34" t="s">
        <v>1873</v>
      </c>
      <c r="K131" s="13" t="s">
        <v>1076</v>
      </c>
      <c r="L131" s="92">
        <v>5.17</v>
      </c>
      <c r="M131" s="92">
        <v>5.17</v>
      </c>
      <c r="N131" s="196">
        <v>0</v>
      </c>
      <c r="P131" s="13" t="s">
        <v>268</v>
      </c>
      <c r="Q131" s="13" t="s">
        <v>269</v>
      </c>
      <c r="R131" s="13" t="s">
        <v>269</v>
      </c>
      <c r="S131" s="15" t="s">
        <v>360</v>
      </c>
      <c r="T131" s="18">
        <v>0</v>
      </c>
      <c r="U131" s="18"/>
      <c r="V131" s="18"/>
      <c r="W131" s="18">
        <f t="shared" si="4"/>
        <v>0</v>
      </c>
      <c r="X131" s="18"/>
      <c r="Y131" s="18"/>
      <c r="Z131" s="275"/>
    </row>
    <row r="132" spans="2:26" ht="15.75" customHeight="1">
      <c r="C132" s="270"/>
      <c r="D132" s="270"/>
      <c r="E132" s="18" t="s">
        <v>1217</v>
      </c>
      <c r="F132" s="508" t="s">
        <v>255</v>
      </c>
      <c r="G132" s="283" t="s">
        <v>1858</v>
      </c>
      <c r="H132" s="500" t="s">
        <v>77</v>
      </c>
      <c r="I132" s="13" t="s">
        <v>208</v>
      </c>
      <c r="J132" s="16" t="s">
        <v>1595</v>
      </c>
      <c r="K132" s="13" t="s">
        <v>1077</v>
      </c>
      <c r="L132" s="92">
        <v>16.04</v>
      </c>
      <c r="M132" s="92">
        <v>16.04</v>
      </c>
      <c r="N132" s="196">
        <v>3</v>
      </c>
      <c r="P132" s="13" t="s">
        <v>268</v>
      </c>
      <c r="Q132" s="13" t="s">
        <v>269</v>
      </c>
      <c r="R132" s="13" t="s">
        <v>269</v>
      </c>
      <c r="S132" s="15" t="s">
        <v>360</v>
      </c>
      <c r="T132" s="18">
        <v>0</v>
      </c>
      <c r="U132" s="18"/>
      <c r="V132" s="18"/>
      <c r="W132" s="18">
        <f t="shared" si="4"/>
        <v>0</v>
      </c>
      <c r="X132" s="18"/>
      <c r="Y132" s="18"/>
      <c r="Z132" s="275"/>
    </row>
    <row r="133" spans="2:26" ht="30">
      <c r="C133" s="270"/>
      <c r="D133" s="270"/>
      <c r="E133" s="18" t="s">
        <v>1217</v>
      </c>
      <c r="F133" s="508" t="s">
        <v>255</v>
      </c>
      <c r="G133" s="283" t="s">
        <v>1858</v>
      </c>
      <c r="H133" s="500" t="s">
        <v>77</v>
      </c>
      <c r="I133" s="13" t="s">
        <v>1364</v>
      </c>
      <c r="J133" s="164" t="s">
        <v>1874</v>
      </c>
      <c r="K133" s="74" t="s">
        <v>1596</v>
      </c>
      <c r="L133" s="161">
        <v>27.2</v>
      </c>
      <c r="M133" s="161">
        <v>27.2</v>
      </c>
      <c r="N133" s="279">
        <v>3</v>
      </c>
      <c r="O133" s="94"/>
      <c r="P133" s="13" t="s">
        <v>572</v>
      </c>
      <c r="Q133" s="13" t="s">
        <v>572</v>
      </c>
      <c r="R133" s="13" t="s">
        <v>460</v>
      </c>
      <c r="S133" s="18" t="s">
        <v>100</v>
      </c>
      <c r="T133" s="18">
        <v>0</v>
      </c>
      <c r="U133" s="18"/>
      <c r="V133" s="18"/>
      <c r="W133" s="18">
        <f t="shared" si="4"/>
        <v>0</v>
      </c>
      <c r="X133" s="18"/>
      <c r="Y133" s="18"/>
      <c r="Z133" s="275"/>
    </row>
    <row r="134" spans="2:26">
      <c r="C134" s="270"/>
      <c r="D134" s="270"/>
      <c r="E134" s="18" t="s">
        <v>1217</v>
      </c>
      <c r="F134" s="508" t="s">
        <v>255</v>
      </c>
      <c r="G134" s="283" t="s">
        <v>1858</v>
      </c>
      <c r="H134" s="500" t="s">
        <v>77</v>
      </c>
      <c r="I134" s="13" t="s">
        <v>1364</v>
      </c>
      <c r="J134" s="16" t="s">
        <v>1591</v>
      </c>
      <c r="K134" s="13" t="s">
        <v>1078</v>
      </c>
      <c r="L134" s="32">
        <v>11.35</v>
      </c>
      <c r="M134" s="32">
        <v>11.35</v>
      </c>
      <c r="N134" s="196">
        <v>2</v>
      </c>
      <c r="P134" s="13" t="s">
        <v>268</v>
      </c>
      <c r="Q134" s="13" t="s">
        <v>269</v>
      </c>
      <c r="R134" s="13" t="s">
        <v>269</v>
      </c>
      <c r="S134" s="15" t="s">
        <v>360</v>
      </c>
      <c r="T134" s="18">
        <v>0</v>
      </c>
      <c r="U134" s="18"/>
      <c r="V134" s="18"/>
      <c r="W134" s="18">
        <f t="shared" si="3"/>
        <v>0</v>
      </c>
      <c r="X134" s="18"/>
      <c r="Y134" s="18"/>
      <c r="Z134" s="275"/>
    </row>
    <row r="135" spans="2:26">
      <c r="C135" s="270"/>
      <c r="D135" s="270"/>
      <c r="E135" s="18" t="s">
        <v>1217</v>
      </c>
      <c r="F135" s="508" t="s">
        <v>255</v>
      </c>
      <c r="G135" s="283"/>
      <c r="H135" s="500" t="s">
        <v>77</v>
      </c>
      <c r="I135" s="13" t="s">
        <v>1370</v>
      </c>
      <c r="J135" s="502" t="s">
        <v>253</v>
      </c>
      <c r="K135" s="507"/>
      <c r="L135" s="509">
        <v>2.31</v>
      </c>
      <c r="M135" s="509">
        <v>2.31</v>
      </c>
      <c r="N135" s="505"/>
      <c r="O135" s="505"/>
      <c r="P135" s="13" t="s">
        <v>268</v>
      </c>
      <c r="Q135" s="13" t="s">
        <v>269</v>
      </c>
      <c r="R135" s="13" t="s">
        <v>269</v>
      </c>
      <c r="S135" s="15" t="s">
        <v>360</v>
      </c>
      <c r="T135" s="18">
        <v>0</v>
      </c>
      <c r="U135" s="18"/>
      <c r="V135" s="18"/>
      <c r="W135" s="18">
        <f t="shared" si="3"/>
        <v>0</v>
      </c>
      <c r="X135" s="18"/>
      <c r="Y135" s="18"/>
      <c r="Z135" s="275"/>
    </row>
    <row r="136" spans="2:26">
      <c r="C136" s="270"/>
      <c r="D136" s="270"/>
      <c r="E136" s="18" t="s">
        <v>1217</v>
      </c>
      <c r="F136" s="508" t="s">
        <v>255</v>
      </c>
      <c r="G136" s="283" t="s">
        <v>1858</v>
      </c>
      <c r="H136" s="500" t="s">
        <v>77</v>
      </c>
      <c r="I136" s="13" t="s">
        <v>593</v>
      </c>
      <c r="J136" s="34" t="s">
        <v>256</v>
      </c>
      <c r="K136" s="13" t="s">
        <v>1067</v>
      </c>
      <c r="L136" s="92">
        <v>108.35</v>
      </c>
      <c r="M136" s="92">
        <v>108.35</v>
      </c>
      <c r="N136" s="196">
        <v>50</v>
      </c>
      <c r="P136" s="13" t="s">
        <v>268</v>
      </c>
      <c r="Q136" s="13" t="s">
        <v>269</v>
      </c>
      <c r="R136" s="13" t="s">
        <v>269</v>
      </c>
      <c r="S136" s="15" t="s">
        <v>360</v>
      </c>
      <c r="T136" s="18">
        <v>0</v>
      </c>
      <c r="U136" s="18"/>
      <c r="V136" s="18"/>
      <c r="W136" s="18">
        <f t="shared" si="3"/>
        <v>0</v>
      </c>
      <c r="X136" s="18"/>
      <c r="Y136" s="18"/>
      <c r="Z136" s="275"/>
    </row>
    <row r="137" spans="2:26">
      <c r="C137" s="270"/>
      <c r="D137" s="270"/>
      <c r="E137" s="18" t="s">
        <v>1217</v>
      </c>
      <c r="F137" s="508" t="s">
        <v>255</v>
      </c>
      <c r="G137" s="283" t="s">
        <v>1858</v>
      </c>
      <c r="H137" s="500" t="s">
        <v>77</v>
      </c>
      <c r="I137" s="13" t="s">
        <v>1364</v>
      </c>
      <c r="J137" s="34" t="s">
        <v>258</v>
      </c>
      <c r="K137" s="13" t="s">
        <v>1069</v>
      </c>
      <c r="L137" s="92">
        <v>24.85</v>
      </c>
      <c r="M137" s="92">
        <v>24.85</v>
      </c>
      <c r="N137" s="196">
        <v>4</v>
      </c>
      <c r="P137" s="13" t="s">
        <v>268</v>
      </c>
      <c r="Q137" s="13" t="s">
        <v>269</v>
      </c>
      <c r="R137" s="13" t="s">
        <v>269</v>
      </c>
      <c r="S137" s="15" t="s">
        <v>360</v>
      </c>
      <c r="T137" s="18">
        <v>0</v>
      </c>
      <c r="U137" s="18"/>
      <c r="V137" s="18"/>
      <c r="W137" s="18">
        <f t="shared" si="3"/>
        <v>0</v>
      </c>
      <c r="X137" s="18"/>
      <c r="Y137" s="18"/>
      <c r="Z137" s="275"/>
    </row>
    <row r="138" spans="2:26">
      <c r="C138" s="270"/>
      <c r="D138" s="270"/>
      <c r="E138" s="18" t="s">
        <v>1217</v>
      </c>
      <c r="F138" s="508" t="s">
        <v>255</v>
      </c>
      <c r="G138" s="283" t="s">
        <v>1858</v>
      </c>
      <c r="H138" s="500" t="s">
        <v>77</v>
      </c>
      <c r="I138" s="13" t="s">
        <v>1364</v>
      </c>
      <c r="J138" s="34" t="s">
        <v>254</v>
      </c>
      <c r="K138" s="13" t="s">
        <v>1070</v>
      </c>
      <c r="L138" s="92">
        <v>16.04</v>
      </c>
      <c r="M138" s="92">
        <v>16.04</v>
      </c>
      <c r="N138" s="196">
        <v>3</v>
      </c>
      <c r="P138" s="13" t="s">
        <v>268</v>
      </c>
      <c r="Q138" s="13" t="s">
        <v>269</v>
      </c>
      <c r="R138" s="13" t="s">
        <v>269</v>
      </c>
      <c r="S138" s="15" t="s">
        <v>360</v>
      </c>
      <c r="T138" s="18">
        <v>0</v>
      </c>
      <c r="U138" s="18"/>
      <c r="V138" s="18"/>
      <c r="W138" s="18">
        <f t="shared" si="3"/>
        <v>0</v>
      </c>
      <c r="X138" s="18"/>
      <c r="Y138" s="18"/>
      <c r="Z138" s="275"/>
    </row>
    <row r="139" spans="2:26">
      <c r="C139" s="270"/>
      <c r="D139" s="270"/>
      <c r="E139" s="18" t="s">
        <v>1217</v>
      </c>
      <c r="F139" s="508" t="s">
        <v>255</v>
      </c>
      <c r="G139" s="283" t="s">
        <v>1858</v>
      </c>
      <c r="H139" s="500" t="s">
        <v>77</v>
      </c>
      <c r="I139" s="13" t="s">
        <v>208</v>
      </c>
      <c r="J139" s="16" t="s">
        <v>1592</v>
      </c>
      <c r="K139" s="13" t="s">
        <v>1071</v>
      </c>
      <c r="L139" s="92">
        <v>7.76</v>
      </c>
      <c r="M139" s="92">
        <v>7.76</v>
      </c>
      <c r="N139" s="196">
        <v>1</v>
      </c>
      <c r="P139" s="13" t="s">
        <v>268</v>
      </c>
      <c r="Q139" s="13" t="s">
        <v>269</v>
      </c>
      <c r="R139" s="13" t="s">
        <v>269</v>
      </c>
      <c r="S139" s="15" t="s">
        <v>360</v>
      </c>
      <c r="T139" s="18">
        <v>0</v>
      </c>
      <c r="U139" s="18"/>
      <c r="V139" s="18"/>
      <c r="W139" s="18">
        <f t="shared" si="3"/>
        <v>0</v>
      </c>
      <c r="X139" s="18"/>
      <c r="Y139" s="18"/>
      <c r="Z139" s="275"/>
    </row>
    <row r="140" spans="2:26">
      <c r="C140" s="270"/>
      <c r="D140" s="270"/>
      <c r="E140" s="18" t="s">
        <v>1217</v>
      </c>
      <c r="F140" s="508" t="s">
        <v>255</v>
      </c>
      <c r="G140" s="283" t="s">
        <v>1858</v>
      </c>
      <c r="H140" s="500" t="s">
        <v>77</v>
      </c>
      <c r="I140" s="13" t="s">
        <v>208</v>
      </c>
      <c r="J140" s="16" t="s">
        <v>1593</v>
      </c>
      <c r="K140" s="13" t="s">
        <v>1068</v>
      </c>
      <c r="L140" s="92">
        <v>7.76</v>
      </c>
      <c r="M140" s="92">
        <v>7.76</v>
      </c>
      <c r="N140" s="196">
        <v>1</v>
      </c>
      <c r="P140" s="13" t="s">
        <v>268</v>
      </c>
      <c r="Q140" s="13" t="s">
        <v>269</v>
      </c>
      <c r="R140" s="13" t="s">
        <v>269</v>
      </c>
      <c r="S140" s="15" t="s">
        <v>360</v>
      </c>
      <c r="T140" s="18">
        <v>0</v>
      </c>
      <c r="U140" s="18"/>
      <c r="V140" s="18"/>
      <c r="W140" s="18">
        <f t="shared" si="3"/>
        <v>0</v>
      </c>
      <c r="X140" s="18"/>
      <c r="Y140" s="18"/>
      <c r="Z140" s="275"/>
    </row>
    <row r="141" spans="2:26">
      <c r="C141" s="270"/>
      <c r="D141" s="270"/>
      <c r="E141" s="18" t="s">
        <v>1217</v>
      </c>
      <c r="F141" s="508" t="s">
        <v>255</v>
      </c>
      <c r="G141" s="283" t="s">
        <v>1858</v>
      </c>
      <c r="H141" s="500" t="s">
        <v>77</v>
      </c>
      <c r="I141" s="13" t="s">
        <v>593</v>
      </c>
      <c r="J141" s="34" t="s">
        <v>608</v>
      </c>
      <c r="K141" s="13" t="s">
        <v>1072</v>
      </c>
      <c r="L141" s="92">
        <v>32.64</v>
      </c>
      <c r="M141" s="92">
        <v>32.64</v>
      </c>
      <c r="N141" s="196">
        <v>6</v>
      </c>
      <c r="P141" s="13" t="s">
        <v>268</v>
      </c>
      <c r="Q141" s="13" t="s">
        <v>269</v>
      </c>
      <c r="R141" s="13" t="s">
        <v>269</v>
      </c>
      <c r="S141" s="15" t="s">
        <v>360</v>
      </c>
      <c r="T141" s="18">
        <v>0</v>
      </c>
      <c r="U141" s="18"/>
      <c r="V141" s="18"/>
      <c r="W141" s="18">
        <f t="shared" si="3"/>
        <v>0</v>
      </c>
      <c r="X141" s="18"/>
      <c r="Y141" s="18"/>
      <c r="Z141" s="275"/>
    </row>
    <row r="142" spans="2:26">
      <c r="C142" s="270"/>
      <c r="D142" s="270"/>
      <c r="E142" s="18" t="s">
        <v>1217</v>
      </c>
      <c r="F142" s="508" t="s">
        <v>255</v>
      </c>
      <c r="G142" s="283"/>
      <c r="H142" s="500" t="s">
        <v>77</v>
      </c>
      <c r="I142" s="13" t="s">
        <v>355</v>
      </c>
      <c r="J142" s="502" t="s">
        <v>217</v>
      </c>
      <c r="K142" s="507"/>
      <c r="L142" s="509">
        <v>5.95</v>
      </c>
      <c r="M142" s="509">
        <v>5.95</v>
      </c>
      <c r="N142" s="505">
        <v>2</v>
      </c>
      <c r="O142" s="505"/>
      <c r="P142" s="13" t="s">
        <v>572</v>
      </c>
      <c r="Q142" s="13" t="s">
        <v>572</v>
      </c>
      <c r="R142" s="13" t="s">
        <v>573</v>
      </c>
      <c r="S142" s="18" t="s">
        <v>100</v>
      </c>
      <c r="T142" s="18">
        <v>0</v>
      </c>
      <c r="U142" s="18"/>
      <c r="V142" s="18"/>
      <c r="W142" s="18">
        <f t="shared" si="3"/>
        <v>0</v>
      </c>
      <c r="X142" s="18"/>
      <c r="Y142" s="18"/>
      <c r="Z142" s="275"/>
    </row>
    <row r="143" spans="2:26">
      <c r="B143" s="2"/>
      <c r="C143" s="270"/>
      <c r="D143" s="270"/>
      <c r="E143" s="18" t="s">
        <v>1217</v>
      </c>
      <c r="F143" s="508" t="s">
        <v>255</v>
      </c>
      <c r="G143" s="283"/>
      <c r="H143" s="500" t="s">
        <v>77</v>
      </c>
      <c r="I143" s="13" t="s">
        <v>192</v>
      </c>
      <c r="J143" s="502" t="s">
        <v>369</v>
      </c>
      <c r="K143" s="507"/>
      <c r="L143" s="509">
        <f>2*2.36</f>
        <v>4.72</v>
      </c>
      <c r="M143" s="509">
        <f>2*2.36</f>
        <v>4.72</v>
      </c>
      <c r="N143" s="505">
        <v>1</v>
      </c>
      <c r="O143" s="505"/>
      <c r="P143" s="13" t="s">
        <v>572</v>
      </c>
      <c r="Q143" s="13" t="s">
        <v>572</v>
      </c>
      <c r="R143" s="13" t="s">
        <v>573</v>
      </c>
      <c r="S143" s="18" t="s">
        <v>100</v>
      </c>
      <c r="T143" s="18">
        <v>0</v>
      </c>
      <c r="U143" s="18"/>
      <c r="V143" s="18"/>
      <c r="W143" s="18">
        <f t="shared" si="3"/>
        <v>0</v>
      </c>
      <c r="X143" s="18"/>
      <c r="Y143" s="18"/>
      <c r="Z143" s="275"/>
    </row>
    <row r="144" spans="2:26">
      <c r="C144" s="270"/>
      <c r="D144" s="270"/>
      <c r="E144" s="18" t="s">
        <v>1217</v>
      </c>
      <c r="F144" s="508" t="s">
        <v>255</v>
      </c>
      <c r="G144" s="283"/>
      <c r="H144" s="500" t="s">
        <v>77</v>
      </c>
      <c r="I144" s="13" t="s">
        <v>27</v>
      </c>
      <c r="J144" s="502" t="s">
        <v>1397</v>
      </c>
      <c r="K144" s="507"/>
      <c r="L144" s="509">
        <v>2.36</v>
      </c>
      <c r="M144" s="509">
        <v>2.36</v>
      </c>
      <c r="N144" s="505">
        <v>1</v>
      </c>
      <c r="O144" s="505"/>
      <c r="P144" s="13" t="s">
        <v>572</v>
      </c>
      <c r="Q144" s="13" t="s">
        <v>572</v>
      </c>
      <c r="R144" s="13" t="s">
        <v>573</v>
      </c>
      <c r="S144" s="18" t="s">
        <v>100</v>
      </c>
      <c r="T144" s="18">
        <v>0</v>
      </c>
      <c r="U144" s="18"/>
      <c r="V144" s="18"/>
      <c r="W144" s="18">
        <f t="shared" si="3"/>
        <v>0</v>
      </c>
      <c r="X144" s="18"/>
      <c r="Y144" s="18"/>
      <c r="Z144" s="275"/>
    </row>
    <row r="145" spans="1:26">
      <c r="A145">
        <f>SUM(L125:L145)</f>
        <v>565.42000000000007</v>
      </c>
      <c r="C145" s="233"/>
      <c r="D145" s="233"/>
      <c r="E145" s="18" t="s">
        <v>1217</v>
      </c>
      <c r="F145" s="508" t="s">
        <v>255</v>
      </c>
      <c r="G145" s="283"/>
      <c r="H145" s="500" t="s">
        <v>77</v>
      </c>
      <c r="I145" s="39" t="s">
        <v>194</v>
      </c>
      <c r="J145" s="502" t="s">
        <v>518</v>
      </c>
      <c r="K145" s="507"/>
      <c r="L145" s="509">
        <v>90.06</v>
      </c>
      <c r="M145" s="509">
        <v>90.06</v>
      </c>
      <c r="N145" s="505">
        <v>0</v>
      </c>
      <c r="O145" s="505"/>
      <c r="P145" s="13" t="s">
        <v>268</v>
      </c>
      <c r="S145" s="15"/>
      <c r="T145" s="18"/>
      <c r="U145" s="18"/>
      <c r="V145" s="18"/>
      <c r="W145" s="18"/>
      <c r="X145" s="18"/>
      <c r="Y145" s="18"/>
      <c r="Z145" s="15"/>
    </row>
    <row r="146" spans="1:26">
      <c r="C146" s="272" t="s">
        <v>1222</v>
      </c>
      <c r="D146" s="272" t="s">
        <v>1222</v>
      </c>
      <c r="E146" s="18" t="s">
        <v>1217</v>
      </c>
      <c r="F146" s="499" t="s">
        <v>375</v>
      </c>
      <c r="G146" s="282" t="s">
        <v>388</v>
      </c>
      <c r="H146" s="510" t="s">
        <v>78</v>
      </c>
      <c r="I146" s="13" t="s">
        <v>248</v>
      </c>
      <c r="J146" s="60" t="s">
        <v>516</v>
      </c>
      <c r="K146" s="16" t="s">
        <v>1004</v>
      </c>
      <c r="L146" s="13">
        <v>66.599999999999994</v>
      </c>
      <c r="M146" s="13">
        <v>66.599999999999994</v>
      </c>
      <c r="N146" s="196">
        <v>50</v>
      </c>
      <c r="P146" s="13" t="s">
        <v>268</v>
      </c>
      <c r="Q146" s="13" t="s">
        <v>269</v>
      </c>
      <c r="R146" s="13" t="s">
        <v>460</v>
      </c>
      <c r="S146" s="15" t="s">
        <v>360</v>
      </c>
      <c r="T146" s="18">
        <v>0</v>
      </c>
      <c r="U146" s="18"/>
      <c r="V146" s="18"/>
      <c r="W146" s="18">
        <f t="shared" si="3"/>
        <v>0</v>
      </c>
      <c r="X146" s="18"/>
      <c r="Y146" s="18"/>
      <c r="Z146" s="21" t="e">
        <f>SUM(#REF!)</f>
        <v>#REF!</v>
      </c>
    </row>
    <row r="147" spans="1:26">
      <c r="C147" s="273"/>
      <c r="D147" s="273"/>
      <c r="E147" s="18" t="s">
        <v>1217</v>
      </c>
      <c r="F147" s="499" t="s">
        <v>375</v>
      </c>
      <c r="G147" s="282" t="s">
        <v>388</v>
      </c>
      <c r="H147" s="510" t="s">
        <v>78</v>
      </c>
      <c r="I147" s="13" t="s">
        <v>596</v>
      </c>
      <c r="J147" s="60" t="s">
        <v>1008</v>
      </c>
      <c r="K147" s="16" t="s">
        <v>1005</v>
      </c>
      <c r="L147" s="13">
        <v>66.599999999999994</v>
      </c>
      <c r="M147" s="13">
        <v>66.599999999999994</v>
      </c>
      <c r="N147" s="196">
        <v>34</v>
      </c>
      <c r="P147" s="13" t="s">
        <v>268</v>
      </c>
      <c r="Q147" s="13" t="s">
        <v>269</v>
      </c>
      <c r="R147" s="13" t="s">
        <v>460</v>
      </c>
      <c r="S147" s="15" t="s">
        <v>360</v>
      </c>
      <c r="T147" s="18">
        <v>0</v>
      </c>
      <c r="U147" s="18"/>
      <c r="V147" s="18"/>
      <c r="W147" s="18">
        <f t="shared" si="3"/>
        <v>0</v>
      </c>
      <c r="X147" s="18"/>
      <c r="Y147" s="18"/>
      <c r="Z147" s="21"/>
    </row>
    <row r="148" spans="1:26">
      <c r="C148" s="273"/>
      <c r="D148" s="273"/>
      <c r="E148" s="18" t="s">
        <v>1217</v>
      </c>
      <c r="F148" s="499" t="s">
        <v>375</v>
      </c>
      <c r="G148" s="282" t="s">
        <v>388</v>
      </c>
      <c r="H148" s="510" t="s">
        <v>78</v>
      </c>
      <c r="I148" s="13" t="s">
        <v>248</v>
      </c>
      <c r="J148" s="60" t="s">
        <v>516</v>
      </c>
      <c r="K148" s="16" t="s">
        <v>1006</v>
      </c>
      <c r="L148" s="13">
        <v>66.599999999999994</v>
      </c>
      <c r="M148" s="13">
        <v>66.599999999999994</v>
      </c>
      <c r="N148" s="196">
        <v>50</v>
      </c>
      <c r="P148" s="13" t="s">
        <v>268</v>
      </c>
      <c r="Q148" s="13" t="s">
        <v>269</v>
      </c>
      <c r="R148" s="13" t="s">
        <v>460</v>
      </c>
      <c r="S148" s="15" t="s">
        <v>360</v>
      </c>
      <c r="T148" s="18">
        <v>0</v>
      </c>
      <c r="U148" s="18"/>
      <c r="V148" s="18"/>
      <c r="W148" s="18">
        <f t="shared" ref="W148:W222" si="5">AVERAGE(T148:V148)</f>
        <v>0</v>
      </c>
      <c r="X148" s="18"/>
      <c r="Y148" s="18"/>
      <c r="Z148" s="21"/>
    </row>
    <row r="149" spans="1:26">
      <c r="C149" s="273"/>
      <c r="D149" s="273"/>
      <c r="E149" s="18" t="s">
        <v>1217</v>
      </c>
      <c r="F149" s="499" t="s">
        <v>375</v>
      </c>
      <c r="G149" s="282" t="s">
        <v>388</v>
      </c>
      <c r="H149" s="510" t="s">
        <v>78</v>
      </c>
      <c r="I149" s="13" t="s">
        <v>248</v>
      </c>
      <c r="J149" s="60" t="s">
        <v>516</v>
      </c>
      <c r="K149" s="16" t="s">
        <v>1007</v>
      </c>
      <c r="L149" s="13">
        <v>66.599999999999994</v>
      </c>
      <c r="M149" s="13">
        <v>66.599999999999994</v>
      </c>
      <c r="N149" s="196">
        <v>50</v>
      </c>
      <c r="P149" s="13" t="s">
        <v>268</v>
      </c>
      <c r="Q149" s="13" t="s">
        <v>269</v>
      </c>
      <c r="R149" s="13" t="s">
        <v>460</v>
      </c>
      <c r="S149" s="15" t="s">
        <v>360</v>
      </c>
      <c r="T149" s="18">
        <v>0</v>
      </c>
      <c r="U149" s="18"/>
      <c r="V149" s="18"/>
      <c r="W149" s="18">
        <f t="shared" si="5"/>
        <v>0</v>
      </c>
      <c r="X149" s="18"/>
      <c r="Y149" s="18"/>
      <c r="Z149" s="21"/>
    </row>
    <row r="150" spans="1:26">
      <c r="C150" s="273"/>
      <c r="D150" s="273"/>
      <c r="E150" s="18" t="s">
        <v>1217</v>
      </c>
      <c r="F150" s="499" t="s">
        <v>375</v>
      </c>
      <c r="G150" s="282" t="s">
        <v>1859</v>
      </c>
      <c r="H150" s="510" t="s">
        <v>78</v>
      </c>
      <c r="I150" s="13" t="s">
        <v>249</v>
      </c>
      <c r="J150" s="60" t="s">
        <v>1009</v>
      </c>
      <c r="K150" s="16" t="s">
        <v>1010</v>
      </c>
      <c r="L150" s="13">
        <v>21.62</v>
      </c>
      <c r="M150" s="13">
        <v>21.62</v>
      </c>
      <c r="N150" s="196">
        <v>4</v>
      </c>
      <c r="O150" s="512" t="s">
        <v>1598</v>
      </c>
      <c r="P150" s="13" t="s">
        <v>268</v>
      </c>
      <c r="Q150" s="13" t="s">
        <v>269</v>
      </c>
      <c r="R150" s="13" t="s">
        <v>460</v>
      </c>
      <c r="S150" s="15" t="s">
        <v>360</v>
      </c>
      <c r="T150" s="18">
        <v>0</v>
      </c>
      <c r="U150" s="18"/>
      <c r="V150" s="18"/>
      <c r="W150" s="18">
        <f t="shared" si="5"/>
        <v>0</v>
      </c>
      <c r="X150" s="18"/>
      <c r="Y150" s="18"/>
      <c r="Z150" s="21"/>
    </row>
    <row r="151" spans="1:26">
      <c r="C151" s="273"/>
      <c r="D151" s="273"/>
      <c r="E151" s="18" t="s">
        <v>1217</v>
      </c>
      <c r="F151" s="499" t="s">
        <v>375</v>
      </c>
      <c r="G151" s="282" t="s">
        <v>1859</v>
      </c>
      <c r="H151" s="510" t="s">
        <v>78</v>
      </c>
      <c r="I151" s="13" t="s">
        <v>249</v>
      </c>
      <c r="J151" s="60" t="s">
        <v>1599</v>
      </c>
      <c r="K151" s="16" t="s">
        <v>1011</v>
      </c>
      <c r="L151" s="13">
        <v>10.46</v>
      </c>
      <c r="M151" s="13">
        <v>10.46</v>
      </c>
      <c r="N151" s="196">
        <v>2</v>
      </c>
      <c r="O151" s="552"/>
      <c r="P151" s="13" t="s">
        <v>268</v>
      </c>
      <c r="Q151" s="13" t="s">
        <v>269</v>
      </c>
      <c r="R151" s="13" t="s">
        <v>460</v>
      </c>
      <c r="S151" s="15" t="s">
        <v>360</v>
      </c>
      <c r="T151" s="18">
        <v>0</v>
      </c>
      <c r="U151" s="18"/>
      <c r="V151" s="18"/>
      <c r="W151" s="18">
        <f t="shared" si="5"/>
        <v>0</v>
      </c>
      <c r="X151" s="18"/>
      <c r="Y151" s="18"/>
      <c r="Z151" s="21"/>
    </row>
    <row r="152" spans="1:26" ht="30">
      <c r="C152" s="273"/>
      <c r="D152" s="273"/>
      <c r="E152" s="18" t="s">
        <v>1217</v>
      </c>
      <c r="F152" s="499" t="s">
        <v>375</v>
      </c>
      <c r="G152" s="282" t="s">
        <v>1859</v>
      </c>
      <c r="H152" s="510" t="s">
        <v>78</v>
      </c>
      <c r="I152" s="13" t="s">
        <v>208</v>
      </c>
      <c r="J152" s="60" t="s">
        <v>1600</v>
      </c>
      <c r="K152" s="13" t="s">
        <v>1012</v>
      </c>
      <c r="L152" s="13">
        <v>10.46</v>
      </c>
      <c r="M152" s="13">
        <v>10.46</v>
      </c>
      <c r="N152" s="196">
        <v>2</v>
      </c>
      <c r="O152" s="552"/>
      <c r="P152" s="13" t="s">
        <v>268</v>
      </c>
      <c r="Q152" s="13" t="s">
        <v>269</v>
      </c>
      <c r="R152" s="13" t="s">
        <v>460</v>
      </c>
      <c r="S152" s="15" t="s">
        <v>360</v>
      </c>
      <c r="T152" s="18">
        <v>0</v>
      </c>
      <c r="U152" s="18"/>
      <c r="V152" s="18"/>
      <c r="W152" s="18">
        <f t="shared" si="5"/>
        <v>0</v>
      </c>
      <c r="X152" s="18"/>
      <c r="Y152" s="18"/>
      <c r="Z152" s="21"/>
    </row>
    <row r="153" spans="1:26">
      <c r="C153" s="273"/>
      <c r="D153" s="273"/>
      <c r="E153" s="18" t="s">
        <v>1217</v>
      </c>
      <c r="F153" s="499" t="s">
        <v>375</v>
      </c>
      <c r="G153" s="282" t="s">
        <v>1859</v>
      </c>
      <c r="H153" s="510" t="s">
        <v>78</v>
      </c>
      <c r="I153" s="13" t="s">
        <v>249</v>
      </c>
      <c r="J153" s="60" t="s">
        <v>1023</v>
      </c>
      <c r="K153" s="16" t="s">
        <v>1013</v>
      </c>
      <c r="L153" s="13">
        <v>10.46</v>
      </c>
      <c r="M153" s="13">
        <v>10.46</v>
      </c>
      <c r="N153" s="196">
        <v>2</v>
      </c>
      <c r="O153" s="552"/>
      <c r="P153" s="13" t="s">
        <v>268</v>
      </c>
      <c r="Q153" s="13" t="s">
        <v>269</v>
      </c>
      <c r="R153" s="13" t="s">
        <v>460</v>
      </c>
      <c r="S153" s="15" t="s">
        <v>360</v>
      </c>
      <c r="T153" s="18">
        <v>0</v>
      </c>
      <c r="U153" s="18"/>
      <c r="V153" s="18"/>
      <c r="W153" s="18">
        <f t="shared" si="5"/>
        <v>0</v>
      </c>
      <c r="X153" s="18"/>
      <c r="Y153" s="18"/>
      <c r="Z153" s="21"/>
    </row>
    <row r="154" spans="1:26">
      <c r="C154" s="273"/>
      <c r="D154" s="273"/>
      <c r="E154" s="18" t="s">
        <v>1217</v>
      </c>
      <c r="F154" s="499" t="s">
        <v>375</v>
      </c>
      <c r="G154" s="282" t="s">
        <v>1859</v>
      </c>
      <c r="H154" s="510" t="s">
        <v>78</v>
      </c>
      <c r="I154" s="13" t="s">
        <v>249</v>
      </c>
      <c r="J154" s="60" t="s">
        <v>1024</v>
      </c>
      <c r="K154" s="13" t="s">
        <v>1014</v>
      </c>
      <c r="L154" s="13">
        <v>10.46</v>
      </c>
      <c r="M154" s="13">
        <v>10.46</v>
      </c>
      <c r="N154" s="196">
        <v>2</v>
      </c>
      <c r="O154" s="552"/>
      <c r="P154" s="13" t="s">
        <v>268</v>
      </c>
      <c r="Q154" s="13" t="s">
        <v>269</v>
      </c>
      <c r="R154" s="13" t="s">
        <v>460</v>
      </c>
      <c r="S154" s="15" t="s">
        <v>360</v>
      </c>
      <c r="T154" s="18">
        <v>0</v>
      </c>
      <c r="U154" s="18"/>
      <c r="V154" s="18"/>
      <c r="W154" s="18">
        <f t="shared" si="5"/>
        <v>0</v>
      </c>
      <c r="X154" s="18"/>
      <c r="Y154" s="18"/>
      <c r="Z154" s="21"/>
    </row>
    <row r="155" spans="1:26">
      <c r="C155" s="273"/>
      <c r="D155" s="273"/>
      <c r="E155" s="18" t="s">
        <v>1217</v>
      </c>
      <c r="F155" s="499" t="s">
        <v>375</v>
      </c>
      <c r="G155" s="282" t="s">
        <v>1859</v>
      </c>
      <c r="H155" s="510" t="s">
        <v>78</v>
      </c>
      <c r="I155" s="13" t="s">
        <v>249</v>
      </c>
      <c r="J155" s="34" t="s">
        <v>1601</v>
      </c>
      <c r="K155" s="16" t="s">
        <v>1015</v>
      </c>
      <c r="L155" s="13">
        <v>21.62</v>
      </c>
      <c r="M155" s="13">
        <v>21.62</v>
      </c>
      <c r="N155" s="196">
        <v>2</v>
      </c>
      <c r="O155" s="552"/>
      <c r="P155" s="13" t="s">
        <v>268</v>
      </c>
      <c r="Q155" s="13" t="s">
        <v>269</v>
      </c>
      <c r="R155" s="13" t="s">
        <v>460</v>
      </c>
      <c r="S155" s="18" t="s">
        <v>360</v>
      </c>
      <c r="T155" s="18">
        <v>0</v>
      </c>
      <c r="U155" s="18"/>
      <c r="V155" s="18"/>
      <c r="W155" s="18">
        <f t="shared" si="5"/>
        <v>0</v>
      </c>
      <c r="X155" s="18"/>
      <c r="Y155" s="18"/>
      <c r="Z155" s="21"/>
    </row>
    <row r="156" spans="1:26">
      <c r="C156" s="273"/>
      <c r="D156" s="273"/>
      <c r="E156" s="18" t="s">
        <v>1217</v>
      </c>
      <c r="F156" s="499" t="s">
        <v>375</v>
      </c>
      <c r="G156" s="282" t="s">
        <v>1859</v>
      </c>
      <c r="H156" s="510" t="s">
        <v>78</v>
      </c>
      <c r="I156" s="13" t="s">
        <v>249</v>
      </c>
      <c r="J156" s="34" t="s">
        <v>1025</v>
      </c>
      <c r="K156" s="16" t="s">
        <v>1016</v>
      </c>
      <c r="L156" s="163">
        <v>10.46</v>
      </c>
      <c r="M156" s="163">
        <v>10.46</v>
      </c>
      <c r="N156" s="196">
        <v>2</v>
      </c>
      <c r="O156" s="553" t="s">
        <v>1602</v>
      </c>
      <c r="P156" s="13" t="s">
        <v>268</v>
      </c>
      <c r="Q156" s="284" t="s">
        <v>269</v>
      </c>
      <c r="R156" s="13" t="s">
        <v>460</v>
      </c>
      <c r="S156" s="21" t="s">
        <v>360</v>
      </c>
      <c r="T156" s="18">
        <v>0</v>
      </c>
      <c r="U156" s="18"/>
      <c r="V156" s="18"/>
      <c r="W156" s="18">
        <f t="shared" si="5"/>
        <v>0</v>
      </c>
      <c r="X156" s="18"/>
      <c r="Y156" s="18"/>
      <c r="Z156" s="21"/>
    </row>
    <row r="157" spans="1:26">
      <c r="C157" s="273"/>
      <c r="D157" s="273"/>
      <c r="E157" s="18" t="s">
        <v>1217</v>
      </c>
      <c r="F157" s="499" t="s">
        <v>375</v>
      </c>
      <c r="G157" s="282" t="s">
        <v>1859</v>
      </c>
      <c r="H157" s="510" t="s">
        <v>78</v>
      </c>
      <c r="I157" s="13" t="s">
        <v>208</v>
      </c>
      <c r="J157" s="60" t="s">
        <v>1026</v>
      </c>
      <c r="K157" s="16" t="s">
        <v>1016</v>
      </c>
      <c r="L157" s="163">
        <v>10.46</v>
      </c>
      <c r="M157" s="163">
        <v>10.46</v>
      </c>
      <c r="O157" s="554"/>
      <c r="P157" s="13" t="s">
        <v>268</v>
      </c>
      <c r="Q157" s="284"/>
      <c r="S157" s="21"/>
      <c r="T157" s="18"/>
      <c r="U157" s="18"/>
      <c r="V157" s="18"/>
      <c r="W157" s="18"/>
      <c r="X157" s="18"/>
      <c r="Y157" s="18"/>
      <c r="Z157" s="21"/>
    </row>
    <row r="158" spans="1:26">
      <c r="C158" s="273"/>
      <c r="D158" s="273"/>
      <c r="E158" s="18" t="s">
        <v>1217</v>
      </c>
      <c r="F158" s="499" t="s">
        <v>375</v>
      </c>
      <c r="G158" s="282" t="s">
        <v>1859</v>
      </c>
      <c r="H158" s="510" t="s">
        <v>78</v>
      </c>
      <c r="I158" s="13" t="s">
        <v>208</v>
      </c>
      <c r="J158" s="60" t="s">
        <v>1603</v>
      </c>
      <c r="K158" s="13" t="s">
        <v>1017</v>
      </c>
      <c r="L158" s="163">
        <v>10.46</v>
      </c>
      <c r="M158" s="163">
        <v>10.46</v>
      </c>
      <c r="N158" s="196">
        <v>2</v>
      </c>
      <c r="O158" s="552"/>
      <c r="P158" s="13" t="s">
        <v>268</v>
      </c>
      <c r="Q158" s="13" t="s">
        <v>269</v>
      </c>
      <c r="R158" s="13" t="s">
        <v>460</v>
      </c>
      <c r="S158" s="15" t="s">
        <v>360</v>
      </c>
      <c r="T158" s="18">
        <v>0</v>
      </c>
      <c r="U158" s="18"/>
      <c r="V158" s="18"/>
      <c r="W158" s="18">
        <f t="shared" si="5"/>
        <v>0</v>
      </c>
      <c r="X158" s="18"/>
      <c r="Y158" s="18"/>
      <c r="Z158" s="21"/>
    </row>
    <row r="159" spans="1:26">
      <c r="C159" s="273"/>
      <c r="D159" s="273"/>
      <c r="E159" s="18" t="s">
        <v>1217</v>
      </c>
      <c r="F159" s="499" t="s">
        <v>375</v>
      </c>
      <c r="G159" s="282" t="s">
        <v>1859</v>
      </c>
      <c r="H159" s="510" t="s">
        <v>78</v>
      </c>
      <c r="I159" s="13" t="s">
        <v>208</v>
      </c>
      <c r="J159" s="60" t="s">
        <v>1026</v>
      </c>
      <c r="K159" s="16" t="s">
        <v>1018</v>
      </c>
      <c r="L159" s="163">
        <v>10.46</v>
      </c>
      <c r="M159" s="163">
        <v>10.46</v>
      </c>
      <c r="N159" s="196">
        <v>2</v>
      </c>
      <c r="O159" s="512" t="s">
        <v>1598</v>
      </c>
      <c r="P159" s="13" t="s">
        <v>268</v>
      </c>
      <c r="Q159" s="13" t="s">
        <v>269</v>
      </c>
      <c r="R159" s="13" t="s">
        <v>460</v>
      </c>
      <c r="S159" s="15" t="s">
        <v>360</v>
      </c>
      <c r="T159" s="18">
        <v>0</v>
      </c>
      <c r="U159" s="18"/>
      <c r="V159" s="18"/>
      <c r="W159" s="18">
        <f t="shared" si="5"/>
        <v>0</v>
      </c>
      <c r="X159" s="18"/>
      <c r="Y159" s="18"/>
      <c r="Z159" s="21"/>
    </row>
    <row r="160" spans="1:26" ht="45">
      <c r="C160" s="273"/>
      <c r="D160" s="273"/>
      <c r="E160" s="18" t="s">
        <v>1217</v>
      </c>
      <c r="F160" s="499" t="s">
        <v>375</v>
      </c>
      <c r="G160" s="282" t="s">
        <v>1859</v>
      </c>
      <c r="H160" s="510" t="s">
        <v>78</v>
      </c>
      <c r="I160" s="13" t="s">
        <v>208</v>
      </c>
      <c r="J160" s="60" t="s">
        <v>1604</v>
      </c>
      <c r="K160" s="13" t="s">
        <v>1019</v>
      </c>
      <c r="L160" s="163">
        <v>10.46</v>
      </c>
      <c r="M160" s="163">
        <v>10.46</v>
      </c>
      <c r="N160" s="196">
        <v>2</v>
      </c>
      <c r="O160" s="512"/>
      <c r="P160" s="13" t="s">
        <v>268</v>
      </c>
      <c r="Q160" s="13" t="s">
        <v>269</v>
      </c>
      <c r="R160" s="13" t="s">
        <v>460</v>
      </c>
      <c r="S160" s="15" t="s">
        <v>360</v>
      </c>
      <c r="T160" s="18">
        <v>0</v>
      </c>
      <c r="U160" s="18"/>
      <c r="V160" s="18"/>
      <c r="W160" s="18">
        <f t="shared" si="5"/>
        <v>0</v>
      </c>
      <c r="X160" s="18"/>
      <c r="Y160" s="18"/>
      <c r="Z160" s="21"/>
    </row>
    <row r="161" spans="3:26">
      <c r="C161" s="273"/>
      <c r="D161" s="273"/>
      <c r="E161" s="18" t="s">
        <v>1217</v>
      </c>
      <c r="F161" s="499" t="s">
        <v>375</v>
      </c>
      <c r="G161" s="282" t="s">
        <v>1859</v>
      </c>
      <c r="H161" s="510" t="s">
        <v>78</v>
      </c>
      <c r="I161" s="13" t="s">
        <v>208</v>
      </c>
      <c r="J161" s="60" t="s">
        <v>1026</v>
      </c>
      <c r="K161" s="16" t="s">
        <v>1020</v>
      </c>
      <c r="L161" s="163">
        <v>10.46</v>
      </c>
      <c r="M161" s="163">
        <v>10.46</v>
      </c>
      <c r="N161" s="196">
        <v>2</v>
      </c>
      <c r="O161" s="512" t="s">
        <v>1598</v>
      </c>
      <c r="P161" s="13" t="s">
        <v>268</v>
      </c>
      <c r="Q161" s="13" t="s">
        <v>269</v>
      </c>
      <c r="R161" s="13" t="s">
        <v>460</v>
      </c>
      <c r="S161" s="15" t="s">
        <v>360</v>
      </c>
      <c r="T161" s="18">
        <v>0</v>
      </c>
      <c r="U161" s="18"/>
      <c r="V161" s="18"/>
      <c r="W161" s="18">
        <f t="shared" si="5"/>
        <v>0</v>
      </c>
      <c r="X161" s="18"/>
      <c r="Y161" s="18"/>
      <c r="Z161" s="21"/>
    </row>
    <row r="162" spans="3:26">
      <c r="C162" s="273"/>
      <c r="D162" s="273"/>
      <c r="E162" s="18" t="s">
        <v>1217</v>
      </c>
      <c r="F162" s="499" t="s">
        <v>375</v>
      </c>
      <c r="G162" s="282" t="s">
        <v>1859</v>
      </c>
      <c r="H162" s="510" t="s">
        <v>78</v>
      </c>
      <c r="I162" s="13" t="s">
        <v>208</v>
      </c>
      <c r="J162" s="60" t="s">
        <v>1605</v>
      </c>
      <c r="K162" s="13" t="s">
        <v>1021</v>
      </c>
      <c r="L162" s="163">
        <v>10.46</v>
      </c>
      <c r="M162" s="163">
        <v>10.46</v>
      </c>
      <c r="N162" s="196">
        <v>2</v>
      </c>
      <c r="O162" s="512"/>
      <c r="P162" s="13" t="s">
        <v>268</v>
      </c>
      <c r="Q162" s="13" t="s">
        <v>269</v>
      </c>
      <c r="R162" s="13" t="s">
        <v>460</v>
      </c>
      <c r="S162" s="15" t="s">
        <v>360</v>
      </c>
      <c r="T162" s="18">
        <v>0</v>
      </c>
      <c r="U162" s="18"/>
      <c r="V162" s="18"/>
      <c r="W162" s="18">
        <f t="shared" si="5"/>
        <v>0</v>
      </c>
      <c r="X162" s="18"/>
      <c r="Y162" s="18"/>
      <c r="Z162" s="21"/>
    </row>
    <row r="163" spans="3:26">
      <c r="C163" s="273"/>
      <c r="D163" s="273"/>
      <c r="E163" s="18" t="s">
        <v>1217</v>
      </c>
      <c r="F163" s="499" t="s">
        <v>375</v>
      </c>
      <c r="G163" s="282" t="s">
        <v>1859</v>
      </c>
      <c r="H163" s="510" t="s">
        <v>78</v>
      </c>
      <c r="I163" s="13" t="s">
        <v>208</v>
      </c>
      <c r="J163" s="60" t="s">
        <v>1606</v>
      </c>
      <c r="K163" s="16" t="s">
        <v>1022</v>
      </c>
      <c r="L163" s="163">
        <v>10.46</v>
      </c>
      <c r="M163" s="163">
        <v>10.46</v>
      </c>
      <c r="N163" s="196">
        <v>2</v>
      </c>
      <c r="O163" s="512"/>
      <c r="P163" s="13" t="s">
        <v>268</v>
      </c>
      <c r="Q163" s="13" t="s">
        <v>269</v>
      </c>
      <c r="R163" s="13" t="s">
        <v>460</v>
      </c>
      <c r="S163" s="15" t="s">
        <v>360</v>
      </c>
      <c r="T163" s="18">
        <v>0</v>
      </c>
      <c r="U163" s="18"/>
      <c r="V163" s="18"/>
      <c r="W163" s="18">
        <f t="shared" si="5"/>
        <v>0</v>
      </c>
      <c r="X163" s="18"/>
      <c r="Y163" s="18"/>
      <c r="Z163" s="21"/>
    </row>
    <row r="164" spans="3:26">
      <c r="C164" s="273"/>
      <c r="D164" s="273"/>
      <c r="E164" s="18" t="s">
        <v>1217</v>
      </c>
      <c r="F164" s="499" t="s">
        <v>375</v>
      </c>
      <c r="G164" s="282"/>
      <c r="H164" s="510" t="s">
        <v>78</v>
      </c>
      <c r="I164" s="13" t="s">
        <v>192</v>
      </c>
      <c r="J164" s="503" t="s">
        <v>367</v>
      </c>
      <c r="K164" s="503"/>
      <c r="L164" s="503">
        <v>31.37</v>
      </c>
      <c r="M164" s="503">
        <v>31.37</v>
      </c>
      <c r="N164" s="505">
        <v>7</v>
      </c>
      <c r="O164" s="505"/>
      <c r="P164" s="13" t="s">
        <v>572</v>
      </c>
      <c r="Q164" s="13" t="s">
        <v>572</v>
      </c>
      <c r="R164" s="13" t="s">
        <v>460</v>
      </c>
      <c r="S164" s="15" t="s">
        <v>100</v>
      </c>
      <c r="T164" s="18">
        <v>0</v>
      </c>
      <c r="U164" s="18"/>
      <c r="V164" s="18"/>
      <c r="W164" s="18">
        <f t="shared" si="5"/>
        <v>0</v>
      </c>
      <c r="X164" s="18"/>
      <c r="Y164" s="18"/>
      <c r="Z164" s="21"/>
    </row>
    <row r="165" spans="3:26">
      <c r="C165" s="273"/>
      <c r="D165" s="273"/>
      <c r="E165" s="18" t="s">
        <v>1217</v>
      </c>
      <c r="F165" s="499" t="s">
        <v>375</v>
      </c>
      <c r="G165" s="282"/>
      <c r="H165" s="510" t="s">
        <v>78</v>
      </c>
      <c r="I165" s="13" t="s">
        <v>192</v>
      </c>
      <c r="J165" s="503" t="s">
        <v>368</v>
      </c>
      <c r="K165" s="503"/>
      <c r="L165" s="503">
        <v>31.37</v>
      </c>
      <c r="M165" s="503">
        <v>31.37</v>
      </c>
      <c r="N165" s="505">
        <v>5</v>
      </c>
      <c r="O165" s="505"/>
      <c r="P165" s="13" t="s">
        <v>572</v>
      </c>
      <c r="Q165" s="13" t="s">
        <v>572</v>
      </c>
      <c r="R165" s="13" t="s">
        <v>460</v>
      </c>
      <c r="S165" s="15" t="s">
        <v>100</v>
      </c>
      <c r="T165" s="18">
        <v>0</v>
      </c>
      <c r="U165" s="18"/>
      <c r="V165" s="18"/>
      <c r="W165" s="18">
        <f t="shared" si="5"/>
        <v>0</v>
      </c>
      <c r="X165" s="18"/>
      <c r="Y165" s="18"/>
      <c r="Z165" s="21"/>
    </row>
    <row r="166" spans="3:26">
      <c r="C166" s="273"/>
      <c r="D166" s="273"/>
      <c r="E166" s="18" t="s">
        <v>1217</v>
      </c>
      <c r="F166" s="499" t="s">
        <v>375</v>
      </c>
      <c r="G166" s="282"/>
      <c r="H166" s="510" t="s">
        <v>78</v>
      </c>
      <c r="I166" s="13" t="s">
        <v>27</v>
      </c>
      <c r="J166" s="503" t="s">
        <v>1397</v>
      </c>
      <c r="K166" s="503"/>
      <c r="L166" s="503">
        <v>2.31</v>
      </c>
      <c r="M166" s="503">
        <v>2.31</v>
      </c>
      <c r="N166" s="505">
        <v>1</v>
      </c>
      <c r="O166" s="505"/>
      <c r="P166" s="13" t="s">
        <v>572</v>
      </c>
      <c r="Q166" s="13" t="s">
        <v>572</v>
      </c>
      <c r="R166" s="13" t="s">
        <v>460</v>
      </c>
      <c r="S166" s="15" t="s">
        <v>100</v>
      </c>
      <c r="T166" s="18">
        <v>0</v>
      </c>
      <c r="U166" s="18"/>
      <c r="V166" s="18"/>
      <c r="W166" s="18">
        <f t="shared" si="5"/>
        <v>0</v>
      </c>
      <c r="X166" s="18"/>
      <c r="Y166" s="18"/>
      <c r="Z166" s="21"/>
    </row>
    <row r="167" spans="3:26">
      <c r="C167" s="273"/>
      <c r="D167" s="273"/>
      <c r="E167" s="18" t="s">
        <v>1217</v>
      </c>
      <c r="F167" s="499" t="s">
        <v>375</v>
      </c>
      <c r="G167" s="282" t="s">
        <v>388</v>
      </c>
      <c r="H167" s="510" t="s">
        <v>370</v>
      </c>
      <c r="I167" s="13" t="s">
        <v>248</v>
      </c>
      <c r="J167" s="60" t="s">
        <v>516</v>
      </c>
      <c r="K167" s="16" t="s">
        <v>1027</v>
      </c>
      <c r="L167" s="163">
        <v>66.62</v>
      </c>
      <c r="M167" s="163">
        <v>66.62</v>
      </c>
      <c r="N167" s="196">
        <v>50</v>
      </c>
      <c r="P167" s="13" t="s">
        <v>268</v>
      </c>
      <c r="Q167" s="13" t="s">
        <v>269</v>
      </c>
      <c r="R167" s="13" t="s">
        <v>460</v>
      </c>
      <c r="S167" s="15" t="s">
        <v>360</v>
      </c>
      <c r="T167" s="18">
        <v>0</v>
      </c>
      <c r="U167" s="18"/>
      <c r="V167" s="18"/>
      <c r="W167" s="18">
        <f t="shared" si="5"/>
        <v>0</v>
      </c>
      <c r="X167" s="18"/>
      <c r="Y167" s="18"/>
      <c r="Z167" s="21"/>
    </row>
    <row r="168" spans="3:26">
      <c r="C168" s="273"/>
      <c r="D168" s="273"/>
      <c r="E168" s="18" t="s">
        <v>1217</v>
      </c>
      <c r="F168" s="499" t="s">
        <v>375</v>
      </c>
      <c r="G168" s="282" t="s">
        <v>388</v>
      </c>
      <c r="H168" s="510" t="s">
        <v>370</v>
      </c>
      <c r="I168" s="13" t="s">
        <v>248</v>
      </c>
      <c r="J168" s="60" t="s">
        <v>516</v>
      </c>
      <c r="K168" s="16" t="s">
        <v>1028</v>
      </c>
      <c r="L168" s="163">
        <v>66.62</v>
      </c>
      <c r="M168" s="163">
        <v>66.62</v>
      </c>
      <c r="N168" s="196">
        <v>50</v>
      </c>
      <c r="P168" s="13" t="s">
        <v>268</v>
      </c>
      <c r="Q168" s="13" t="s">
        <v>269</v>
      </c>
      <c r="R168" s="13" t="s">
        <v>460</v>
      </c>
      <c r="S168" s="15" t="s">
        <v>360</v>
      </c>
      <c r="T168" s="18">
        <v>0</v>
      </c>
      <c r="U168" s="18"/>
      <c r="V168" s="18"/>
      <c r="W168" s="18">
        <f t="shared" si="5"/>
        <v>0</v>
      </c>
      <c r="X168" s="18"/>
      <c r="Y168" s="18"/>
      <c r="Z168" s="21"/>
    </row>
    <row r="169" spans="3:26">
      <c r="C169" s="273"/>
      <c r="D169" s="273"/>
      <c r="E169" s="18" t="s">
        <v>1217</v>
      </c>
      <c r="F169" s="499" t="s">
        <v>375</v>
      </c>
      <c r="G169" s="282" t="s">
        <v>1037</v>
      </c>
      <c r="H169" s="510" t="s">
        <v>370</v>
      </c>
      <c r="I169" s="13" t="s">
        <v>110</v>
      </c>
      <c r="J169" s="60" t="s">
        <v>110</v>
      </c>
      <c r="K169" s="16" t="s">
        <v>1029</v>
      </c>
      <c r="L169" s="501">
        <v>117.3</v>
      </c>
      <c r="M169" s="501">
        <v>117.3</v>
      </c>
      <c r="N169" s="196">
        <v>100</v>
      </c>
      <c r="P169" s="13" t="s">
        <v>572</v>
      </c>
      <c r="Q169" s="13" t="s">
        <v>269</v>
      </c>
      <c r="R169" s="13" t="s">
        <v>460</v>
      </c>
      <c r="S169" s="15" t="s">
        <v>360</v>
      </c>
      <c r="T169" s="18">
        <v>0</v>
      </c>
      <c r="U169" s="18"/>
      <c r="V169" s="18"/>
      <c r="W169" s="18">
        <f t="shared" si="5"/>
        <v>0</v>
      </c>
      <c r="X169" s="18"/>
      <c r="Y169" s="18"/>
      <c r="Z169" s="21"/>
    </row>
    <row r="170" spans="3:26">
      <c r="C170" s="273"/>
      <c r="D170" s="273"/>
      <c r="E170" s="18" t="s">
        <v>1217</v>
      </c>
      <c r="F170" s="499" t="s">
        <v>375</v>
      </c>
      <c r="G170" s="282" t="s">
        <v>1037</v>
      </c>
      <c r="H170" s="510" t="s">
        <v>370</v>
      </c>
      <c r="I170" s="13" t="s">
        <v>1371</v>
      </c>
      <c r="J170" s="60" t="s">
        <v>1206</v>
      </c>
      <c r="K170" s="16" t="s">
        <v>1205</v>
      </c>
      <c r="L170" s="501">
        <v>10.37</v>
      </c>
      <c r="M170" s="501">
        <v>10.37</v>
      </c>
      <c r="N170" s="196">
        <v>3</v>
      </c>
      <c r="P170" s="13" t="s">
        <v>268</v>
      </c>
      <c r="Q170" s="13" t="s">
        <v>269</v>
      </c>
      <c r="R170" s="13" t="s">
        <v>460</v>
      </c>
      <c r="S170" s="15" t="s">
        <v>360</v>
      </c>
      <c r="T170" s="18">
        <v>0</v>
      </c>
      <c r="U170" s="18"/>
      <c r="V170" s="18"/>
      <c r="W170" s="18">
        <f t="shared" si="5"/>
        <v>0</v>
      </c>
      <c r="X170" s="18"/>
      <c r="Y170" s="18"/>
      <c r="Z170" s="21"/>
    </row>
    <row r="171" spans="3:26">
      <c r="C171" s="273"/>
      <c r="D171" s="273"/>
      <c r="E171" s="18" t="s">
        <v>1217</v>
      </c>
      <c r="F171" s="499" t="s">
        <v>375</v>
      </c>
      <c r="G171" s="282" t="s">
        <v>389</v>
      </c>
      <c r="H171" s="510" t="s">
        <v>370</v>
      </c>
      <c r="I171" s="13" t="s">
        <v>1370</v>
      </c>
      <c r="J171" s="60" t="s">
        <v>389</v>
      </c>
      <c r="K171" s="16" t="s">
        <v>1030</v>
      </c>
      <c r="L171" s="501">
        <v>43.24</v>
      </c>
      <c r="M171" s="501">
        <v>43.24</v>
      </c>
      <c r="N171" s="196">
        <v>0</v>
      </c>
      <c r="P171" s="13" t="s">
        <v>268</v>
      </c>
      <c r="Q171" s="13" t="s">
        <v>269</v>
      </c>
      <c r="R171" s="13" t="s">
        <v>460</v>
      </c>
      <c r="S171" s="15" t="s">
        <v>360</v>
      </c>
      <c r="T171" s="18">
        <v>0</v>
      </c>
      <c r="U171" s="18"/>
      <c r="V171" s="18"/>
      <c r="W171" s="18">
        <f t="shared" si="5"/>
        <v>0</v>
      </c>
      <c r="X171" s="18"/>
      <c r="Y171" s="18"/>
      <c r="Z171" s="21"/>
    </row>
    <row r="172" spans="3:26">
      <c r="C172" s="273"/>
      <c r="D172" s="273"/>
      <c r="E172" s="18" t="s">
        <v>1217</v>
      </c>
      <c r="F172" s="499" t="s">
        <v>375</v>
      </c>
      <c r="G172" s="282" t="s">
        <v>1859</v>
      </c>
      <c r="H172" s="510" t="s">
        <v>370</v>
      </c>
      <c r="I172" s="13" t="s">
        <v>596</v>
      </c>
      <c r="J172" s="60" t="s">
        <v>1877</v>
      </c>
      <c r="K172" s="13" t="s">
        <v>1876</v>
      </c>
      <c r="L172" s="501">
        <v>43.24</v>
      </c>
      <c r="M172" s="501">
        <v>43.24</v>
      </c>
      <c r="N172" s="196">
        <v>25</v>
      </c>
      <c r="P172" s="13" t="s">
        <v>268</v>
      </c>
      <c r="Q172" s="13" t="s">
        <v>269</v>
      </c>
      <c r="R172" s="13" t="s">
        <v>460</v>
      </c>
      <c r="S172" s="15" t="s">
        <v>360</v>
      </c>
      <c r="T172" s="18">
        <v>0</v>
      </c>
      <c r="U172" s="18"/>
      <c r="V172" s="18"/>
      <c r="W172" s="18">
        <f t="shared" si="5"/>
        <v>0</v>
      </c>
      <c r="X172" s="18"/>
      <c r="Y172" s="18"/>
      <c r="Z172" s="21"/>
    </row>
    <row r="173" spans="3:26" ht="15" customHeight="1">
      <c r="C173" s="273"/>
      <c r="D173" s="273"/>
      <c r="E173" s="18" t="s">
        <v>1217</v>
      </c>
      <c r="F173" s="499" t="s">
        <v>375</v>
      </c>
      <c r="G173" s="282" t="s">
        <v>1859</v>
      </c>
      <c r="H173" s="510" t="s">
        <v>370</v>
      </c>
      <c r="I173" s="13" t="s">
        <v>208</v>
      </c>
      <c r="J173" s="34" t="s">
        <v>1607</v>
      </c>
      <c r="K173" s="16" t="s">
        <v>1033</v>
      </c>
      <c r="L173" s="501">
        <v>10.37</v>
      </c>
      <c r="M173" s="501">
        <v>10.37</v>
      </c>
      <c r="N173" s="196">
        <v>4</v>
      </c>
      <c r="O173" s="512" t="s">
        <v>1598</v>
      </c>
      <c r="P173" s="13" t="s">
        <v>268</v>
      </c>
      <c r="Q173" s="13" t="s">
        <v>269</v>
      </c>
      <c r="R173" s="13" t="s">
        <v>460</v>
      </c>
      <c r="S173" s="18" t="s">
        <v>360</v>
      </c>
      <c r="T173" s="18">
        <v>0</v>
      </c>
      <c r="U173" s="18"/>
      <c r="V173" s="18"/>
      <c r="W173" s="18">
        <f t="shared" si="5"/>
        <v>0</v>
      </c>
      <c r="X173" s="18"/>
      <c r="Y173" s="18"/>
      <c r="Z173" s="21"/>
    </row>
    <row r="174" spans="3:26">
      <c r="C174" s="273"/>
      <c r="D174" s="273"/>
      <c r="E174" s="18" t="s">
        <v>1217</v>
      </c>
      <c r="F174" s="499" t="s">
        <v>375</v>
      </c>
      <c r="G174" s="282" t="s">
        <v>1859</v>
      </c>
      <c r="H174" s="510" t="s">
        <v>370</v>
      </c>
      <c r="I174" s="13" t="s">
        <v>596</v>
      </c>
      <c r="J174" s="34" t="s">
        <v>1608</v>
      </c>
      <c r="K174" s="16" t="s">
        <v>1609</v>
      </c>
      <c r="L174" s="501">
        <v>10.37</v>
      </c>
      <c r="M174" s="501">
        <v>10.37</v>
      </c>
      <c r="N174" s="196">
        <v>4</v>
      </c>
      <c r="O174" s="512" t="s">
        <v>1598</v>
      </c>
      <c r="P174" s="13" t="s">
        <v>268</v>
      </c>
      <c r="Q174" s="13" t="s">
        <v>269</v>
      </c>
      <c r="R174" s="13" t="s">
        <v>460</v>
      </c>
      <c r="S174" s="18" t="s">
        <v>360</v>
      </c>
      <c r="T174" s="18">
        <v>0</v>
      </c>
      <c r="U174" s="18"/>
      <c r="V174" s="18"/>
      <c r="W174" s="18">
        <f t="shared" si="5"/>
        <v>0</v>
      </c>
      <c r="X174" s="18"/>
      <c r="Y174" s="18"/>
      <c r="Z174" s="21"/>
    </row>
    <row r="175" spans="3:26" ht="15" customHeight="1">
      <c r="C175" s="273"/>
      <c r="D175" s="273"/>
      <c r="E175" s="18" t="s">
        <v>1217</v>
      </c>
      <c r="F175" s="499" t="s">
        <v>375</v>
      </c>
      <c r="G175" s="282" t="s">
        <v>1859</v>
      </c>
      <c r="H175" s="510" t="s">
        <v>370</v>
      </c>
      <c r="I175" s="13" t="s">
        <v>596</v>
      </c>
      <c r="J175" s="34" t="s">
        <v>1608</v>
      </c>
      <c r="K175" s="16" t="s">
        <v>1035</v>
      </c>
      <c r="L175" s="501">
        <v>10.37</v>
      </c>
      <c r="M175" s="501">
        <v>10.37</v>
      </c>
      <c r="N175" s="196">
        <v>4</v>
      </c>
      <c r="O175" s="512" t="s">
        <v>1598</v>
      </c>
      <c r="P175" s="13" t="s">
        <v>268</v>
      </c>
      <c r="Q175" s="13" t="s">
        <v>269</v>
      </c>
      <c r="R175" s="13" t="s">
        <v>460</v>
      </c>
      <c r="S175" s="18" t="s">
        <v>360</v>
      </c>
      <c r="T175" s="18">
        <v>0</v>
      </c>
      <c r="U175" s="18"/>
      <c r="V175" s="18"/>
      <c r="W175" s="18">
        <f t="shared" si="5"/>
        <v>0</v>
      </c>
      <c r="X175" s="18"/>
      <c r="Y175" s="18"/>
      <c r="Z175" s="21"/>
    </row>
    <row r="176" spans="3:26">
      <c r="C176" s="273"/>
      <c r="D176" s="273"/>
      <c r="E176" s="18" t="s">
        <v>1217</v>
      </c>
      <c r="F176" s="499" t="s">
        <v>375</v>
      </c>
      <c r="G176" s="282" t="s">
        <v>1859</v>
      </c>
      <c r="H176" s="510" t="s">
        <v>370</v>
      </c>
      <c r="I176" s="13" t="s">
        <v>596</v>
      </c>
      <c r="J176" s="34" t="s">
        <v>1608</v>
      </c>
      <c r="K176" s="16" t="s">
        <v>1610</v>
      </c>
      <c r="L176" s="501">
        <v>10.37</v>
      </c>
      <c r="M176" s="501">
        <v>10.37</v>
      </c>
      <c r="N176" s="196">
        <v>4</v>
      </c>
      <c r="O176" s="512" t="s">
        <v>1598</v>
      </c>
      <c r="P176" s="13" t="s">
        <v>268</v>
      </c>
      <c r="Q176" s="13" t="s">
        <v>269</v>
      </c>
      <c r="R176" s="13" t="s">
        <v>460</v>
      </c>
      <c r="S176" s="15" t="s">
        <v>360</v>
      </c>
      <c r="T176" s="18">
        <v>0</v>
      </c>
      <c r="U176" s="18"/>
      <c r="V176" s="18"/>
      <c r="W176" s="18">
        <f t="shared" si="5"/>
        <v>0</v>
      </c>
      <c r="X176" s="18"/>
      <c r="Y176" s="18"/>
      <c r="Z176" s="21"/>
    </row>
    <row r="177" spans="1:26">
      <c r="C177" s="273"/>
      <c r="D177" s="273"/>
      <c r="E177" s="18" t="s">
        <v>1217</v>
      </c>
      <c r="F177" s="499" t="s">
        <v>375</v>
      </c>
      <c r="G177" s="282" t="s">
        <v>1037</v>
      </c>
      <c r="H177" s="510" t="s">
        <v>370</v>
      </c>
      <c r="I177" s="13" t="s">
        <v>249</v>
      </c>
      <c r="J177" s="34" t="s">
        <v>1037</v>
      </c>
      <c r="K177" s="16" t="s">
        <v>1036</v>
      </c>
      <c r="L177" s="163">
        <v>21.62</v>
      </c>
      <c r="M177" s="163">
        <v>21.62</v>
      </c>
      <c r="N177" s="196">
        <v>4</v>
      </c>
      <c r="O177" s="196" t="s">
        <v>1611</v>
      </c>
      <c r="P177" s="13" t="s">
        <v>572</v>
      </c>
      <c r="Q177" s="13" t="s">
        <v>572</v>
      </c>
      <c r="R177" s="13" t="s">
        <v>460</v>
      </c>
      <c r="S177" s="18" t="s">
        <v>100</v>
      </c>
      <c r="T177" s="18">
        <v>0</v>
      </c>
      <c r="U177" s="18"/>
      <c r="V177" s="18"/>
      <c r="W177" s="18">
        <f t="shared" si="5"/>
        <v>0</v>
      </c>
      <c r="X177" s="18"/>
      <c r="Y177" s="18"/>
      <c r="Z177" s="21"/>
    </row>
    <row r="178" spans="1:26">
      <c r="A178">
        <f>SUM(L150:L154,L157:L163,L171:L172,L175:L176)</f>
        <v>243.90000000000006</v>
      </c>
      <c r="C178" s="273"/>
      <c r="D178" s="273"/>
      <c r="E178" s="18" t="s">
        <v>1217</v>
      </c>
      <c r="F178" s="499" t="s">
        <v>375</v>
      </c>
      <c r="G178" s="282"/>
      <c r="H178" s="510" t="s">
        <v>370</v>
      </c>
      <c r="I178" s="13" t="s">
        <v>249</v>
      </c>
      <c r="J178" s="60" t="s">
        <v>1038</v>
      </c>
      <c r="K178" s="16" t="s">
        <v>1034</v>
      </c>
      <c r="L178" s="92">
        <v>21.62</v>
      </c>
      <c r="M178" s="92">
        <v>21.62</v>
      </c>
      <c r="N178" s="196">
        <v>4</v>
      </c>
      <c r="O178" s="196" t="s">
        <v>1612</v>
      </c>
      <c r="P178" s="13" t="s">
        <v>572</v>
      </c>
      <c r="Q178" s="13" t="s">
        <v>572</v>
      </c>
      <c r="R178" s="13" t="s">
        <v>460</v>
      </c>
      <c r="S178" s="18" t="s">
        <v>100</v>
      </c>
      <c r="T178" s="18">
        <v>0</v>
      </c>
      <c r="U178" s="18"/>
      <c r="V178" s="18"/>
      <c r="W178" s="18">
        <f t="shared" si="5"/>
        <v>0</v>
      </c>
      <c r="X178" s="18"/>
      <c r="Y178" s="18"/>
      <c r="Z178" s="21"/>
    </row>
    <row r="179" spans="1:26">
      <c r="C179" s="273"/>
      <c r="D179" s="273"/>
      <c r="E179" s="18" t="s">
        <v>1217</v>
      </c>
      <c r="F179" s="499" t="s">
        <v>375</v>
      </c>
      <c r="G179" s="282"/>
      <c r="H179" s="510" t="s">
        <v>370</v>
      </c>
      <c r="I179" s="13" t="s">
        <v>355</v>
      </c>
      <c r="J179" s="503" t="s">
        <v>367</v>
      </c>
      <c r="K179" s="503"/>
      <c r="L179" s="503">
        <v>31.37</v>
      </c>
      <c r="M179" s="503">
        <v>31.37</v>
      </c>
      <c r="N179" s="505">
        <v>7</v>
      </c>
      <c r="O179" s="505"/>
      <c r="P179" s="13" t="s">
        <v>572</v>
      </c>
      <c r="Q179" s="13" t="s">
        <v>572</v>
      </c>
      <c r="R179" s="13" t="s">
        <v>460</v>
      </c>
      <c r="S179" s="18" t="s">
        <v>100</v>
      </c>
      <c r="T179" s="18">
        <v>0</v>
      </c>
      <c r="U179" s="18"/>
      <c r="V179" s="18"/>
      <c r="W179" s="18">
        <f t="shared" si="5"/>
        <v>0</v>
      </c>
      <c r="X179" s="18"/>
      <c r="Y179" s="18"/>
      <c r="Z179" s="21"/>
    </row>
    <row r="180" spans="1:26">
      <c r="C180" s="273"/>
      <c r="D180" s="273"/>
      <c r="E180" s="18" t="s">
        <v>1217</v>
      </c>
      <c r="F180" s="499" t="s">
        <v>375</v>
      </c>
      <c r="G180" s="282"/>
      <c r="H180" s="510" t="s">
        <v>370</v>
      </c>
      <c r="I180" s="13" t="s">
        <v>355</v>
      </c>
      <c r="J180" s="503" t="s">
        <v>368</v>
      </c>
      <c r="K180" s="503"/>
      <c r="L180" s="503">
        <v>31.37</v>
      </c>
      <c r="M180" s="503">
        <v>31.37</v>
      </c>
      <c r="N180" s="505">
        <v>5</v>
      </c>
      <c r="O180" s="505"/>
      <c r="P180" s="13" t="s">
        <v>572</v>
      </c>
      <c r="Q180" s="13" t="s">
        <v>572</v>
      </c>
      <c r="R180" s="13" t="s">
        <v>464</v>
      </c>
      <c r="S180" s="18" t="s">
        <v>100</v>
      </c>
      <c r="T180" s="18">
        <v>0</v>
      </c>
      <c r="U180" s="18"/>
      <c r="V180" s="18"/>
      <c r="W180" s="18">
        <f t="shared" si="5"/>
        <v>0</v>
      </c>
      <c r="X180" s="18"/>
      <c r="Y180" s="18"/>
      <c r="Z180" s="21"/>
    </row>
    <row r="181" spans="1:26">
      <c r="C181" s="273"/>
      <c r="D181" s="273"/>
      <c r="E181" s="18" t="s">
        <v>1217</v>
      </c>
      <c r="F181" s="499" t="s">
        <v>375</v>
      </c>
      <c r="G181" s="282"/>
      <c r="H181" s="510" t="s">
        <v>370</v>
      </c>
      <c r="I181" s="13" t="s">
        <v>355</v>
      </c>
      <c r="J181" s="503" t="s">
        <v>1397</v>
      </c>
      <c r="K181" s="503"/>
      <c r="L181" s="503">
        <v>2.31</v>
      </c>
      <c r="M181" s="503">
        <v>2.31</v>
      </c>
      <c r="N181" s="505">
        <v>1</v>
      </c>
      <c r="O181" s="505"/>
      <c r="P181" s="13" t="s">
        <v>572</v>
      </c>
      <c r="T181" s="18"/>
      <c r="U181" s="18"/>
      <c r="V181" s="18"/>
      <c r="W181" s="18"/>
      <c r="X181" s="18"/>
      <c r="Y181" s="18"/>
      <c r="Z181" s="21"/>
    </row>
    <row r="182" spans="1:26">
      <c r="C182" s="273"/>
      <c r="D182" s="273"/>
      <c r="E182" s="18" t="s">
        <v>1217</v>
      </c>
      <c r="F182" s="499" t="s">
        <v>375</v>
      </c>
      <c r="G182" s="282"/>
      <c r="H182" s="510" t="s">
        <v>370</v>
      </c>
      <c r="I182" s="13" t="s">
        <v>1371</v>
      </c>
      <c r="J182" s="76" t="s">
        <v>1875</v>
      </c>
      <c r="K182" s="76"/>
      <c r="L182" s="76">
        <v>10.46</v>
      </c>
      <c r="M182" s="76">
        <v>10.46</v>
      </c>
      <c r="N182" s="94">
        <v>2</v>
      </c>
      <c r="O182" s="94"/>
      <c r="P182" s="13" t="s">
        <v>572</v>
      </c>
      <c r="T182" s="18"/>
      <c r="U182" s="18"/>
      <c r="V182" s="18"/>
      <c r="W182" s="18"/>
      <c r="X182" s="18"/>
      <c r="Y182" s="18"/>
      <c r="Z182" s="21"/>
    </row>
    <row r="183" spans="1:26">
      <c r="A183">
        <f>SUM(L146:L183)</f>
        <v>1301.9299999999996</v>
      </c>
      <c r="C183" s="274"/>
      <c r="D183" s="274"/>
      <c r="E183" s="18" t="s">
        <v>1217</v>
      </c>
      <c r="F183" s="499" t="s">
        <v>375</v>
      </c>
      <c r="G183" s="282"/>
      <c r="H183" s="510" t="s">
        <v>370</v>
      </c>
      <c r="I183" s="39" t="s">
        <v>194</v>
      </c>
      <c r="J183" s="503" t="s">
        <v>461</v>
      </c>
      <c r="K183" s="503"/>
      <c r="L183" s="507">
        <f>141.35*2+11.4</f>
        <v>294.09999999999997</v>
      </c>
      <c r="M183" s="507">
        <f>141.35*2+11.4</f>
        <v>294.09999999999997</v>
      </c>
      <c r="N183" s="505">
        <v>0</v>
      </c>
      <c r="O183" s="505"/>
      <c r="P183" s="13" t="s">
        <v>268</v>
      </c>
      <c r="Q183" s="16" t="s">
        <v>269</v>
      </c>
      <c r="R183" s="13" t="s">
        <v>460</v>
      </c>
      <c r="S183" s="15" t="s">
        <v>360</v>
      </c>
      <c r="T183" s="18">
        <v>0</v>
      </c>
      <c r="U183" s="18"/>
      <c r="V183" s="18"/>
      <c r="W183" s="18">
        <f t="shared" si="5"/>
        <v>0</v>
      </c>
      <c r="X183" s="18"/>
      <c r="Y183" s="18"/>
      <c r="Z183" s="21"/>
    </row>
    <row r="184" spans="1:26">
      <c r="C184" s="268" t="s">
        <v>1222</v>
      </c>
      <c r="D184" s="268" t="s">
        <v>1222</v>
      </c>
      <c r="E184" s="18" t="s">
        <v>1217</v>
      </c>
      <c r="F184" s="513" t="s">
        <v>260</v>
      </c>
      <c r="G184" s="284"/>
      <c r="H184" s="500" t="s">
        <v>77</v>
      </c>
      <c r="I184" s="39" t="s">
        <v>194</v>
      </c>
      <c r="J184" s="502" t="s">
        <v>518</v>
      </c>
      <c r="K184" s="507"/>
      <c r="L184" s="509">
        <v>114.56</v>
      </c>
      <c r="M184" s="509">
        <v>114.56</v>
      </c>
      <c r="N184" s="505">
        <v>0</v>
      </c>
      <c r="O184" s="505"/>
      <c r="P184" s="13" t="s">
        <v>268</v>
      </c>
      <c r="Q184" s="13" t="s">
        <v>269</v>
      </c>
      <c r="R184" s="13" t="s">
        <v>279</v>
      </c>
      <c r="S184" s="18" t="s">
        <v>100</v>
      </c>
      <c r="T184" s="18">
        <v>0</v>
      </c>
      <c r="U184" s="18"/>
      <c r="V184" s="18"/>
      <c r="W184" s="18">
        <f t="shared" si="5"/>
        <v>0</v>
      </c>
      <c r="X184" s="18"/>
      <c r="Y184" s="18"/>
      <c r="Z184" s="275" t="e">
        <f>SUM(#REF!)</f>
        <v>#REF!</v>
      </c>
    </row>
    <row r="185" spans="1:26">
      <c r="C185" s="270"/>
      <c r="D185" s="270"/>
      <c r="E185" s="18" t="s">
        <v>1217</v>
      </c>
      <c r="F185" s="513" t="s">
        <v>260</v>
      </c>
      <c r="G185" s="284"/>
      <c r="H185" s="500" t="s">
        <v>77</v>
      </c>
      <c r="I185" s="13" t="s">
        <v>192</v>
      </c>
      <c r="J185" s="502" t="s">
        <v>261</v>
      </c>
      <c r="K185" s="507"/>
      <c r="L185" s="509">
        <v>11.72</v>
      </c>
      <c r="M185" s="509">
        <v>11.72</v>
      </c>
      <c r="N185" s="505">
        <v>3</v>
      </c>
      <c r="O185" s="505"/>
      <c r="P185" s="13" t="s">
        <v>572</v>
      </c>
      <c r="Q185" s="13" t="s">
        <v>572</v>
      </c>
      <c r="R185" s="13" t="s">
        <v>573</v>
      </c>
      <c r="S185" s="18" t="s">
        <v>100</v>
      </c>
      <c r="T185" s="18">
        <v>0</v>
      </c>
      <c r="U185" s="18"/>
      <c r="V185" s="18"/>
      <c r="W185" s="18">
        <f t="shared" si="5"/>
        <v>0</v>
      </c>
      <c r="X185" s="18"/>
      <c r="Y185" s="18"/>
      <c r="Z185" s="275"/>
    </row>
    <row r="186" spans="1:26">
      <c r="C186" s="270"/>
      <c r="D186" s="270"/>
      <c r="E186" s="18" t="s">
        <v>1217</v>
      </c>
      <c r="F186" s="513" t="s">
        <v>260</v>
      </c>
      <c r="G186" s="284"/>
      <c r="H186" s="500" t="s">
        <v>77</v>
      </c>
      <c r="I186" s="13" t="s">
        <v>192</v>
      </c>
      <c r="J186" s="502" t="s">
        <v>262</v>
      </c>
      <c r="K186" s="507"/>
      <c r="L186" s="509">
        <v>11.72</v>
      </c>
      <c r="M186" s="509">
        <v>11.72</v>
      </c>
      <c r="N186" s="505">
        <v>1</v>
      </c>
      <c r="O186" s="505"/>
      <c r="P186" s="13" t="s">
        <v>572</v>
      </c>
      <c r="Q186" s="13" t="s">
        <v>572</v>
      </c>
      <c r="R186" s="13" t="s">
        <v>573</v>
      </c>
      <c r="S186" s="18" t="s">
        <v>100</v>
      </c>
      <c r="T186" s="18">
        <v>0</v>
      </c>
      <c r="U186" s="18"/>
      <c r="V186" s="18"/>
      <c r="W186" s="18">
        <f t="shared" si="5"/>
        <v>0</v>
      </c>
      <c r="X186" s="18"/>
      <c r="Y186" s="18"/>
      <c r="Z186" s="275"/>
    </row>
    <row r="187" spans="1:26">
      <c r="B187" s="2"/>
      <c r="C187" s="270"/>
      <c r="D187" s="270"/>
      <c r="E187" s="18" t="s">
        <v>1217</v>
      </c>
      <c r="F187" s="513" t="s">
        <v>260</v>
      </c>
      <c r="G187" s="284"/>
      <c r="H187" s="500" t="s">
        <v>77</v>
      </c>
      <c r="I187" s="13" t="s">
        <v>192</v>
      </c>
      <c r="J187" s="502" t="s">
        <v>263</v>
      </c>
      <c r="K187" s="507"/>
      <c r="L187" s="509">
        <v>2.56</v>
      </c>
      <c r="M187" s="509">
        <v>2.56</v>
      </c>
      <c r="N187" s="505">
        <v>1</v>
      </c>
      <c r="O187" s="505"/>
      <c r="P187" s="13" t="s">
        <v>572</v>
      </c>
      <c r="Q187" s="13" t="s">
        <v>572</v>
      </c>
      <c r="R187" s="13" t="s">
        <v>573</v>
      </c>
      <c r="S187" s="18" t="s">
        <v>100</v>
      </c>
      <c r="T187" s="18">
        <v>0</v>
      </c>
      <c r="U187" s="18"/>
      <c r="V187" s="18"/>
      <c r="W187" s="18">
        <f t="shared" si="5"/>
        <v>0</v>
      </c>
      <c r="X187" s="18"/>
      <c r="Y187" s="18"/>
      <c r="Z187" s="275"/>
    </row>
    <row r="188" spans="1:26">
      <c r="C188" s="270"/>
      <c r="D188" s="270"/>
      <c r="E188" s="18" t="s">
        <v>1217</v>
      </c>
      <c r="F188" s="513" t="s">
        <v>260</v>
      </c>
      <c r="G188" s="284" t="s">
        <v>1859</v>
      </c>
      <c r="H188" s="500" t="s">
        <v>77</v>
      </c>
      <c r="I188" s="13" t="s">
        <v>596</v>
      </c>
      <c r="J188" s="34" t="s">
        <v>1043</v>
      </c>
      <c r="K188" s="13" t="s">
        <v>1039</v>
      </c>
      <c r="L188" s="92">
        <v>118</v>
      </c>
      <c r="M188" s="92">
        <v>118</v>
      </c>
      <c r="N188" s="196">
        <v>25</v>
      </c>
      <c r="P188" s="13" t="s">
        <v>268</v>
      </c>
      <c r="Q188" s="13" t="s">
        <v>269</v>
      </c>
      <c r="R188" s="13" t="s">
        <v>279</v>
      </c>
      <c r="S188" s="15" t="s">
        <v>360</v>
      </c>
      <c r="T188" s="18">
        <v>0</v>
      </c>
      <c r="U188" s="18"/>
      <c r="V188" s="18"/>
      <c r="W188" s="18">
        <f t="shared" si="5"/>
        <v>0</v>
      </c>
      <c r="X188" s="18"/>
      <c r="Y188" s="18"/>
      <c r="Z188" s="275"/>
    </row>
    <row r="189" spans="1:26">
      <c r="C189" s="270"/>
      <c r="D189" s="270"/>
      <c r="E189" s="18" t="s">
        <v>1217</v>
      </c>
      <c r="F189" s="513" t="s">
        <v>260</v>
      </c>
      <c r="G189" s="284" t="s">
        <v>1859</v>
      </c>
      <c r="H189" s="500" t="s">
        <v>77</v>
      </c>
      <c r="I189" s="13" t="s">
        <v>596</v>
      </c>
      <c r="J189" s="34" t="s">
        <v>205</v>
      </c>
      <c r="L189" s="92">
        <v>3.82</v>
      </c>
      <c r="M189" s="92">
        <v>3.82</v>
      </c>
      <c r="N189" s="196">
        <v>0</v>
      </c>
      <c r="P189" s="13" t="s">
        <v>268</v>
      </c>
      <c r="S189" s="15"/>
      <c r="T189" s="18"/>
      <c r="U189" s="18"/>
      <c r="V189" s="18"/>
      <c r="W189" s="18"/>
      <c r="X189" s="18"/>
      <c r="Y189" s="18"/>
      <c r="Z189" s="275"/>
    </row>
    <row r="190" spans="1:26">
      <c r="C190" s="270"/>
      <c r="D190" s="270"/>
      <c r="E190" s="18" t="s">
        <v>1217</v>
      </c>
      <c r="F190" s="513" t="s">
        <v>260</v>
      </c>
      <c r="G190" s="284" t="s">
        <v>1859</v>
      </c>
      <c r="H190" s="500" t="s">
        <v>77</v>
      </c>
      <c r="I190" s="13" t="s">
        <v>249</v>
      </c>
      <c r="J190" s="13" t="s">
        <v>1085</v>
      </c>
      <c r="K190" s="13" t="s">
        <v>1086</v>
      </c>
      <c r="L190" s="16">
        <v>8</v>
      </c>
      <c r="M190" s="16">
        <v>8</v>
      </c>
      <c r="N190" s="505">
        <v>0</v>
      </c>
      <c r="O190" s="505"/>
      <c r="P190" s="13" t="s">
        <v>268</v>
      </c>
      <c r="Q190" s="13" t="s">
        <v>269</v>
      </c>
      <c r="R190" s="13" t="s">
        <v>279</v>
      </c>
      <c r="S190" s="15" t="s">
        <v>360</v>
      </c>
      <c r="T190" s="18">
        <v>0</v>
      </c>
      <c r="U190" s="18"/>
      <c r="V190" s="18"/>
      <c r="W190" s="18">
        <f t="shared" si="5"/>
        <v>0</v>
      </c>
      <c r="X190" s="18"/>
      <c r="Y190" s="18"/>
      <c r="Z190" s="275"/>
    </row>
    <row r="191" spans="1:26">
      <c r="C191" s="270"/>
      <c r="D191" s="270"/>
      <c r="E191" s="18" t="s">
        <v>1217</v>
      </c>
      <c r="F191" s="513" t="s">
        <v>260</v>
      </c>
      <c r="G191" s="284" t="s">
        <v>1859</v>
      </c>
      <c r="H191" s="500" t="s">
        <v>77</v>
      </c>
      <c r="I191" s="13" t="s">
        <v>208</v>
      </c>
      <c r="J191" s="34" t="s">
        <v>252</v>
      </c>
      <c r="K191" s="13" t="s">
        <v>1087</v>
      </c>
      <c r="L191" s="92">
        <v>21.83</v>
      </c>
      <c r="M191" s="92">
        <v>21.83</v>
      </c>
      <c r="N191" s="196">
        <v>2</v>
      </c>
      <c r="P191" s="13" t="s">
        <v>268</v>
      </c>
      <c r="Q191" s="13" t="s">
        <v>269</v>
      </c>
      <c r="R191" s="13" t="s">
        <v>279</v>
      </c>
      <c r="S191" s="15" t="s">
        <v>360</v>
      </c>
      <c r="T191" s="18">
        <v>0</v>
      </c>
      <c r="U191" s="18"/>
      <c r="V191" s="18"/>
      <c r="W191" s="18">
        <f t="shared" si="5"/>
        <v>0</v>
      </c>
      <c r="X191" s="18"/>
      <c r="Y191" s="18"/>
      <c r="Z191" s="275"/>
    </row>
    <row r="192" spans="1:26">
      <c r="C192" s="270"/>
      <c r="D192" s="270"/>
      <c r="E192" s="18" t="s">
        <v>1217</v>
      </c>
      <c r="F192" s="513" t="s">
        <v>260</v>
      </c>
      <c r="G192" s="284" t="s">
        <v>1858</v>
      </c>
      <c r="H192" s="500" t="s">
        <v>77</v>
      </c>
      <c r="I192" s="13" t="s">
        <v>593</v>
      </c>
      <c r="J192" s="34" t="s">
        <v>1044</v>
      </c>
      <c r="K192" s="13" t="s">
        <v>1040</v>
      </c>
      <c r="L192" s="92">
        <v>119.16</v>
      </c>
      <c r="M192" s="92">
        <v>119.16</v>
      </c>
      <c r="N192" s="196">
        <v>25</v>
      </c>
      <c r="P192" s="514" t="s">
        <v>268</v>
      </c>
      <c r="Q192" s="647" t="s">
        <v>269</v>
      </c>
      <c r="R192" s="647" t="s">
        <v>279</v>
      </c>
      <c r="S192" s="15" t="s">
        <v>360</v>
      </c>
      <c r="T192" s="18">
        <v>0</v>
      </c>
      <c r="U192" s="18"/>
      <c r="V192" s="18"/>
      <c r="W192" s="18">
        <f t="shared" si="5"/>
        <v>0</v>
      </c>
      <c r="X192" s="18"/>
      <c r="Y192" s="18"/>
      <c r="Z192" s="275"/>
    </row>
    <row r="193" spans="3:26">
      <c r="C193" s="270"/>
      <c r="D193" s="270"/>
      <c r="E193" s="18" t="s">
        <v>1217</v>
      </c>
      <c r="F193" s="513" t="s">
        <v>260</v>
      </c>
      <c r="G193" s="284" t="s">
        <v>1858</v>
      </c>
      <c r="H193" s="500" t="s">
        <v>77</v>
      </c>
      <c r="I193" s="13" t="s">
        <v>593</v>
      </c>
      <c r="J193" s="34" t="s">
        <v>1092</v>
      </c>
      <c r="K193" s="13" t="s">
        <v>1090</v>
      </c>
      <c r="L193" s="92">
        <v>5.85</v>
      </c>
      <c r="M193" s="92">
        <v>5.85</v>
      </c>
      <c r="P193" s="514" t="s">
        <v>268</v>
      </c>
      <c r="Q193" s="648"/>
      <c r="R193" s="648"/>
      <c r="S193" s="15"/>
      <c r="T193" s="18"/>
      <c r="U193" s="18"/>
      <c r="V193" s="18"/>
      <c r="W193" s="18"/>
      <c r="X193" s="18"/>
      <c r="Y193" s="18"/>
      <c r="Z193" s="275"/>
    </row>
    <row r="194" spans="3:26">
      <c r="C194" s="270"/>
      <c r="D194" s="270"/>
      <c r="E194" s="18" t="s">
        <v>1217</v>
      </c>
      <c r="F194" s="513" t="s">
        <v>260</v>
      </c>
      <c r="G194" s="284" t="s">
        <v>1858</v>
      </c>
      <c r="H194" s="500" t="s">
        <v>77</v>
      </c>
      <c r="I194" s="13" t="s">
        <v>249</v>
      </c>
      <c r="J194" s="16" t="s">
        <v>1613</v>
      </c>
      <c r="K194" s="13" t="s">
        <v>1091</v>
      </c>
      <c r="L194" s="92">
        <v>7.25</v>
      </c>
      <c r="M194" s="92">
        <v>7.25</v>
      </c>
      <c r="N194" s="196">
        <v>1</v>
      </c>
      <c r="P194" s="514" t="s">
        <v>268</v>
      </c>
      <c r="Q194" s="648"/>
      <c r="R194" s="648"/>
      <c r="S194" s="15"/>
      <c r="T194" s="18"/>
      <c r="U194" s="18"/>
      <c r="V194" s="18"/>
      <c r="W194" s="18"/>
      <c r="X194" s="18"/>
      <c r="Y194" s="18"/>
      <c r="Z194" s="275"/>
    </row>
    <row r="195" spans="3:26">
      <c r="C195" s="270"/>
      <c r="D195" s="270"/>
      <c r="E195" s="18" t="s">
        <v>1217</v>
      </c>
      <c r="F195" s="513" t="s">
        <v>260</v>
      </c>
      <c r="G195" s="284" t="s">
        <v>1858</v>
      </c>
      <c r="H195" s="500" t="s">
        <v>77</v>
      </c>
      <c r="I195" s="13" t="s">
        <v>593</v>
      </c>
      <c r="J195" s="16" t="s">
        <v>1614</v>
      </c>
      <c r="K195" s="13" t="s">
        <v>1093</v>
      </c>
      <c r="L195" s="92">
        <v>8.77</v>
      </c>
      <c r="M195" s="92">
        <v>8.77</v>
      </c>
      <c r="P195" s="514" t="s">
        <v>268</v>
      </c>
      <c r="Q195" s="648"/>
      <c r="R195" s="648"/>
      <c r="S195" s="15"/>
      <c r="T195" s="18"/>
      <c r="U195" s="18"/>
      <c r="V195" s="18"/>
      <c r="W195" s="18"/>
      <c r="X195" s="18"/>
      <c r="Y195" s="18"/>
      <c r="Z195" s="275"/>
    </row>
    <row r="196" spans="3:26">
      <c r="C196" s="270"/>
      <c r="D196" s="270"/>
      <c r="E196" s="18" t="s">
        <v>1217</v>
      </c>
      <c r="F196" s="513" t="s">
        <v>260</v>
      </c>
      <c r="G196" s="284" t="s">
        <v>1858</v>
      </c>
      <c r="H196" s="500" t="s">
        <v>77</v>
      </c>
      <c r="I196" s="13" t="s">
        <v>593</v>
      </c>
      <c r="J196" s="16" t="s">
        <v>1811</v>
      </c>
      <c r="K196" s="13" t="s">
        <v>1094</v>
      </c>
      <c r="L196" s="92">
        <v>12.74</v>
      </c>
      <c r="M196" s="92">
        <v>12.74</v>
      </c>
      <c r="P196" s="514" t="s">
        <v>268</v>
      </c>
      <c r="Q196" s="648"/>
      <c r="R196" s="648"/>
      <c r="S196" s="15"/>
      <c r="T196" s="18"/>
      <c r="U196" s="18"/>
      <c r="V196" s="18"/>
      <c r="W196" s="18"/>
      <c r="X196" s="18"/>
      <c r="Y196" s="18"/>
      <c r="Z196" s="275"/>
    </row>
    <row r="197" spans="3:26">
      <c r="C197" s="270"/>
      <c r="D197" s="270"/>
      <c r="E197" s="18" t="s">
        <v>1217</v>
      </c>
      <c r="F197" s="513" t="s">
        <v>260</v>
      </c>
      <c r="G197" s="284" t="s">
        <v>1858</v>
      </c>
      <c r="H197" s="500" t="s">
        <v>77</v>
      </c>
      <c r="I197" s="13" t="s">
        <v>593</v>
      </c>
      <c r="J197" s="16" t="s">
        <v>1615</v>
      </c>
      <c r="K197" s="13" t="s">
        <v>1095</v>
      </c>
      <c r="L197" s="92">
        <v>5.94</v>
      </c>
      <c r="M197" s="92">
        <v>5.94</v>
      </c>
      <c r="P197" s="514" t="s">
        <v>268</v>
      </c>
      <c r="Q197" s="649"/>
      <c r="R197" s="649"/>
      <c r="S197" s="15"/>
      <c r="T197" s="18"/>
      <c r="U197" s="18"/>
      <c r="V197" s="18"/>
      <c r="W197" s="18"/>
      <c r="X197" s="18"/>
      <c r="Y197" s="18"/>
      <c r="Z197" s="275"/>
    </row>
    <row r="198" spans="3:26">
      <c r="C198" s="270"/>
      <c r="D198" s="270"/>
      <c r="E198" s="18" t="s">
        <v>1217</v>
      </c>
      <c r="F198" s="513" t="s">
        <v>260</v>
      </c>
      <c r="G198" s="284" t="s">
        <v>1858</v>
      </c>
      <c r="H198" s="500" t="s">
        <v>77</v>
      </c>
      <c r="I198" s="13" t="s">
        <v>208</v>
      </c>
      <c r="J198" s="16" t="s">
        <v>1616</v>
      </c>
      <c r="K198" s="13" t="s">
        <v>1088</v>
      </c>
      <c r="L198" s="92">
        <v>10.73</v>
      </c>
      <c r="M198" s="92">
        <v>10.73</v>
      </c>
      <c r="N198" s="196">
        <v>1</v>
      </c>
      <c r="P198" s="514" t="s">
        <v>268</v>
      </c>
      <c r="Q198" s="647" t="s">
        <v>269</v>
      </c>
      <c r="S198" s="15"/>
      <c r="T198" s="18"/>
      <c r="U198" s="18"/>
      <c r="V198" s="18"/>
      <c r="W198" s="18"/>
      <c r="X198" s="18"/>
      <c r="Y198" s="18"/>
      <c r="Z198" s="275"/>
    </row>
    <row r="199" spans="3:26">
      <c r="C199" s="270"/>
      <c r="D199" s="270"/>
      <c r="E199" s="18" t="s">
        <v>1217</v>
      </c>
      <c r="F199" s="513" t="s">
        <v>260</v>
      </c>
      <c r="G199" s="284" t="s">
        <v>1858</v>
      </c>
      <c r="H199" s="500" t="s">
        <v>77</v>
      </c>
      <c r="I199" s="13" t="s">
        <v>208</v>
      </c>
      <c r="J199" s="16" t="s">
        <v>1617</v>
      </c>
      <c r="K199" s="13" t="s">
        <v>1089</v>
      </c>
      <c r="L199" s="92">
        <v>10.73</v>
      </c>
      <c r="M199" s="92">
        <v>10.73</v>
      </c>
      <c r="N199" s="196">
        <v>2</v>
      </c>
      <c r="P199" s="514" t="s">
        <v>268</v>
      </c>
      <c r="Q199" s="649"/>
      <c r="R199" s="13" t="s">
        <v>279</v>
      </c>
      <c r="S199" s="15" t="s">
        <v>360</v>
      </c>
      <c r="T199" s="18">
        <v>0</v>
      </c>
      <c r="U199" s="18"/>
      <c r="V199" s="18"/>
      <c r="W199" s="18">
        <f t="shared" si="5"/>
        <v>0</v>
      </c>
      <c r="X199" s="18"/>
      <c r="Y199" s="18"/>
      <c r="Z199" s="275"/>
    </row>
    <row r="200" spans="3:26">
      <c r="C200" s="270"/>
      <c r="D200" s="270"/>
      <c r="E200" s="18" t="s">
        <v>1217</v>
      </c>
      <c r="F200" s="513" t="s">
        <v>260</v>
      </c>
      <c r="G200" s="284" t="s">
        <v>1858</v>
      </c>
      <c r="H200" s="500" t="s">
        <v>77</v>
      </c>
      <c r="I200" s="13" t="s">
        <v>593</v>
      </c>
      <c r="J200" s="34" t="s">
        <v>1045</v>
      </c>
      <c r="K200" s="13" t="s">
        <v>1041</v>
      </c>
      <c r="L200" s="92">
        <v>129.41</v>
      </c>
      <c r="M200" s="92">
        <v>129.41</v>
      </c>
      <c r="N200" s="196">
        <v>25</v>
      </c>
      <c r="P200" s="13" t="s">
        <v>268</v>
      </c>
      <c r="Q200" s="13" t="s">
        <v>269</v>
      </c>
      <c r="R200" s="13" t="s">
        <v>279</v>
      </c>
      <c r="S200" s="15" t="s">
        <v>360</v>
      </c>
      <c r="T200" s="18">
        <v>0</v>
      </c>
      <c r="U200" s="18"/>
      <c r="V200" s="18"/>
      <c r="W200" s="18">
        <f t="shared" si="5"/>
        <v>0</v>
      </c>
      <c r="X200" s="18"/>
      <c r="Y200" s="18"/>
      <c r="Z200" s="275"/>
    </row>
    <row r="201" spans="3:26">
      <c r="C201" s="270"/>
      <c r="D201" s="270"/>
      <c r="E201" s="18" t="s">
        <v>1217</v>
      </c>
      <c r="F201" s="513" t="s">
        <v>260</v>
      </c>
      <c r="G201" s="284" t="s">
        <v>1858</v>
      </c>
      <c r="H201" s="500" t="s">
        <v>77</v>
      </c>
      <c r="I201" s="13" t="s">
        <v>249</v>
      </c>
      <c r="J201" s="16" t="s">
        <v>1618</v>
      </c>
      <c r="K201" s="13" t="s">
        <v>1097</v>
      </c>
      <c r="L201" s="92">
        <v>6.25</v>
      </c>
      <c r="M201" s="92">
        <v>6.25</v>
      </c>
      <c r="N201" s="196">
        <v>1</v>
      </c>
      <c r="P201" s="13" t="s">
        <v>268</v>
      </c>
      <c r="S201" s="15"/>
      <c r="T201" s="18"/>
      <c r="U201" s="18"/>
      <c r="V201" s="18"/>
      <c r="W201" s="18"/>
      <c r="X201" s="18"/>
      <c r="Y201" s="18"/>
      <c r="Z201" s="275"/>
    </row>
    <row r="202" spans="3:26">
      <c r="C202" s="270"/>
      <c r="D202" s="270"/>
      <c r="E202" s="18" t="s">
        <v>1217</v>
      </c>
      <c r="F202" s="513" t="s">
        <v>260</v>
      </c>
      <c r="G202" s="284" t="s">
        <v>1858</v>
      </c>
      <c r="H202" s="500" t="s">
        <v>77</v>
      </c>
      <c r="I202" s="13" t="s">
        <v>208</v>
      </c>
      <c r="J202" s="16" t="s">
        <v>1878</v>
      </c>
      <c r="K202" s="13" t="s">
        <v>1096</v>
      </c>
      <c r="L202" s="92">
        <v>21.64</v>
      </c>
      <c r="M202" s="92">
        <v>21.64</v>
      </c>
      <c r="N202" s="196">
        <v>3</v>
      </c>
      <c r="P202" s="13" t="s">
        <v>268</v>
      </c>
      <c r="Q202" s="13" t="s">
        <v>269</v>
      </c>
      <c r="R202" s="13" t="s">
        <v>279</v>
      </c>
      <c r="S202" s="15" t="s">
        <v>360</v>
      </c>
      <c r="T202" s="18">
        <v>0</v>
      </c>
      <c r="U202" s="18"/>
      <c r="V202" s="18"/>
      <c r="W202" s="18">
        <f t="shared" si="5"/>
        <v>0</v>
      </c>
      <c r="X202" s="18"/>
      <c r="Y202" s="18"/>
      <c r="Z202" s="275"/>
    </row>
    <row r="203" spans="3:26">
      <c r="C203" s="270"/>
      <c r="D203" s="270"/>
      <c r="E203" s="18" t="s">
        <v>1217</v>
      </c>
      <c r="F203" s="513" t="s">
        <v>260</v>
      </c>
      <c r="G203" s="284" t="s">
        <v>1858</v>
      </c>
      <c r="H203" s="500" t="s">
        <v>77</v>
      </c>
      <c r="I203" s="13" t="s">
        <v>208</v>
      </c>
      <c r="J203" s="16" t="s">
        <v>1619</v>
      </c>
      <c r="K203" s="13" t="s">
        <v>1098</v>
      </c>
      <c r="L203" s="92">
        <v>8.94</v>
      </c>
      <c r="M203" s="92">
        <v>8.94</v>
      </c>
      <c r="N203" s="196">
        <v>1</v>
      </c>
      <c r="P203" s="515" t="s">
        <v>268</v>
      </c>
      <c r="Q203" s="515" t="s">
        <v>269</v>
      </c>
      <c r="R203" s="515" t="s">
        <v>279</v>
      </c>
      <c r="S203" s="15"/>
      <c r="T203" s="18"/>
      <c r="U203" s="18"/>
      <c r="V203" s="18"/>
      <c r="W203" s="18"/>
      <c r="X203" s="18"/>
      <c r="Y203" s="18"/>
      <c r="Z203" s="275"/>
    </row>
    <row r="204" spans="3:26">
      <c r="C204" s="270"/>
      <c r="D204" s="270"/>
      <c r="E204" s="18" t="s">
        <v>1217</v>
      </c>
      <c r="F204" s="513" t="s">
        <v>260</v>
      </c>
      <c r="G204" s="284" t="s">
        <v>1858</v>
      </c>
      <c r="H204" s="500" t="s">
        <v>77</v>
      </c>
      <c r="I204" s="13" t="s">
        <v>593</v>
      </c>
      <c r="J204" s="16" t="s">
        <v>211</v>
      </c>
      <c r="K204" s="13" t="s">
        <v>1100</v>
      </c>
      <c r="L204" s="92">
        <v>5.29</v>
      </c>
      <c r="M204" s="92">
        <v>5.29</v>
      </c>
      <c r="P204" s="515" t="s">
        <v>268</v>
      </c>
      <c r="Q204" s="516"/>
      <c r="R204" s="516"/>
      <c r="S204" s="15"/>
      <c r="T204" s="18"/>
      <c r="U204" s="18"/>
      <c r="V204" s="18"/>
      <c r="W204" s="18"/>
      <c r="X204" s="18"/>
      <c r="Y204" s="18"/>
      <c r="Z204" s="275"/>
    </row>
    <row r="205" spans="3:26">
      <c r="C205" s="270"/>
      <c r="D205" s="270"/>
      <c r="E205" s="18" t="s">
        <v>1217</v>
      </c>
      <c r="F205" s="513" t="s">
        <v>260</v>
      </c>
      <c r="G205" s="284" t="s">
        <v>1858</v>
      </c>
      <c r="H205" s="500" t="s">
        <v>77</v>
      </c>
      <c r="I205" s="13" t="s">
        <v>593</v>
      </c>
      <c r="J205" s="16" t="s">
        <v>1620</v>
      </c>
      <c r="K205" s="13" t="s">
        <v>1101</v>
      </c>
      <c r="L205" s="92">
        <v>4.53</v>
      </c>
      <c r="M205" s="92">
        <v>4.53</v>
      </c>
      <c r="P205" s="515" t="s">
        <v>268</v>
      </c>
      <c r="Q205" s="516"/>
      <c r="R205" s="516"/>
      <c r="S205" s="15"/>
      <c r="T205" s="18"/>
      <c r="U205" s="18"/>
      <c r="V205" s="18"/>
      <c r="W205" s="18"/>
      <c r="X205" s="18"/>
      <c r="Y205" s="18"/>
      <c r="Z205" s="275"/>
    </row>
    <row r="206" spans="3:26">
      <c r="C206" s="270"/>
      <c r="D206" s="270"/>
      <c r="E206" s="18" t="s">
        <v>1217</v>
      </c>
      <c r="F206" s="513" t="s">
        <v>260</v>
      </c>
      <c r="G206" s="284" t="s">
        <v>1858</v>
      </c>
      <c r="H206" s="500" t="s">
        <v>77</v>
      </c>
      <c r="I206" s="13" t="s">
        <v>593</v>
      </c>
      <c r="J206" s="34" t="s">
        <v>1046</v>
      </c>
      <c r="K206" s="13" t="s">
        <v>1042</v>
      </c>
      <c r="L206" s="92">
        <v>125.75</v>
      </c>
      <c r="M206" s="92">
        <v>125.75</v>
      </c>
      <c r="N206" s="196">
        <v>25</v>
      </c>
      <c r="P206" s="515" t="s">
        <v>268</v>
      </c>
      <c r="Q206" s="517"/>
      <c r="R206" s="517"/>
      <c r="S206" s="15" t="s">
        <v>360</v>
      </c>
      <c r="T206" s="18">
        <v>0</v>
      </c>
      <c r="U206" s="18"/>
      <c r="V206" s="18"/>
      <c r="W206" s="18">
        <f t="shared" si="5"/>
        <v>0</v>
      </c>
      <c r="X206" s="18"/>
      <c r="Y206" s="18"/>
      <c r="Z206" s="275"/>
    </row>
    <row r="207" spans="3:26">
      <c r="C207" s="270"/>
      <c r="D207" s="270"/>
      <c r="E207" s="18" t="s">
        <v>1217</v>
      </c>
      <c r="F207" s="513" t="s">
        <v>260</v>
      </c>
      <c r="G207" s="284" t="s">
        <v>1858</v>
      </c>
      <c r="H207" s="500" t="s">
        <v>77</v>
      </c>
      <c r="I207" s="13" t="s">
        <v>249</v>
      </c>
      <c r="J207" s="13" t="s">
        <v>1621</v>
      </c>
      <c r="K207" s="13" t="s">
        <v>1099</v>
      </c>
      <c r="L207" s="13">
        <v>8.94</v>
      </c>
      <c r="M207" s="13">
        <v>8.94</v>
      </c>
      <c r="N207" s="94">
        <v>1</v>
      </c>
      <c r="O207" s="94"/>
      <c r="P207" s="13" t="s">
        <v>268</v>
      </c>
      <c r="Q207" s="13" t="s">
        <v>269</v>
      </c>
      <c r="R207" s="13" t="s">
        <v>279</v>
      </c>
      <c r="S207" s="15" t="s">
        <v>360</v>
      </c>
      <c r="T207" s="18">
        <v>0</v>
      </c>
      <c r="U207" s="18"/>
      <c r="V207" s="18"/>
      <c r="W207" s="18">
        <f t="shared" si="5"/>
        <v>0</v>
      </c>
      <c r="X207" s="18"/>
      <c r="Y207" s="18"/>
      <c r="Z207" s="275"/>
    </row>
    <row r="208" spans="3:26">
      <c r="C208" s="272" t="s">
        <v>1222</v>
      </c>
      <c r="D208" s="272" t="s">
        <v>1222</v>
      </c>
      <c r="E208" s="18" t="s">
        <v>1217</v>
      </c>
      <c r="F208" s="499" t="s">
        <v>376</v>
      </c>
      <c r="G208" s="282" t="s">
        <v>1859</v>
      </c>
      <c r="H208" s="510" t="s">
        <v>78</v>
      </c>
      <c r="I208" s="13" t="s">
        <v>596</v>
      </c>
      <c r="J208" s="34" t="s">
        <v>386</v>
      </c>
      <c r="K208" s="16" t="s">
        <v>1066</v>
      </c>
      <c r="L208" s="501">
        <v>30.58</v>
      </c>
      <c r="M208" s="501">
        <v>30.58</v>
      </c>
      <c r="N208" s="196">
        <v>15</v>
      </c>
      <c r="P208" s="13" t="s">
        <v>268</v>
      </c>
      <c r="Q208" s="16" t="s">
        <v>269</v>
      </c>
      <c r="R208" s="13" t="s">
        <v>279</v>
      </c>
      <c r="S208" s="15" t="s">
        <v>360</v>
      </c>
      <c r="T208" s="18">
        <v>0</v>
      </c>
      <c r="U208" s="18"/>
      <c r="V208" s="18"/>
      <c r="W208" s="18">
        <f t="shared" si="5"/>
        <v>0</v>
      </c>
      <c r="X208" s="18"/>
      <c r="Y208" s="18"/>
      <c r="Z208" s="21" t="e">
        <f>SUM(#REF!)</f>
        <v>#REF!</v>
      </c>
    </row>
    <row r="209" spans="3:26">
      <c r="C209" s="273"/>
      <c r="D209" s="273"/>
      <c r="E209" s="18" t="s">
        <v>1217</v>
      </c>
      <c r="F209" s="499" t="s">
        <v>376</v>
      </c>
      <c r="G209" s="282" t="s">
        <v>1859</v>
      </c>
      <c r="H209" s="510" t="s">
        <v>78</v>
      </c>
      <c r="I209" s="13" t="s">
        <v>596</v>
      </c>
      <c r="J209" s="34" t="s">
        <v>1622</v>
      </c>
      <c r="K209" s="16" t="s">
        <v>1065</v>
      </c>
      <c r="L209" s="163">
        <v>30.58</v>
      </c>
      <c r="M209" s="163">
        <v>30.58</v>
      </c>
      <c r="N209" s="196">
        <v>15</v>
      </c>
      <c r="P209" s="13" t="s">
        <v>268</v>
      </c>
      <c r="Q209" s="16" t="s">
        <v>269</v>
      </c>
      <c r="R209" s="13" t="s">
        <v>279</v>
      </c>
      <c r="S209" s="15" t="s">
        <v>360</v>
      </c>
      <c r="T209" s="18">
        <v>0</v>
      </c>
      <c r="U209" s="18"/>
      <c r="V209" s="18"/>
      <c r="W209" s="18">
        <f t="shared" si="5"/>
        <v>0</v>
      </c>
      <c r="X209" s="18"/>
      <c r="Y209" s="18"/>
      <c r="Z209" s="21"/>
    </row>
    <row r="210" spans="3:26" ht="30">
      <c r="C210" s="273"/>
      <c r="D210" s="273"/>
      <c r="E210" s="18" t="s">
        <v>1217</v>
      </c>
      <c r="F210" s="499" t="s">
        <v>376</v>
      </c>
      <c r="G210" s="282" t="s">
        <v>1859</v>
      </c>
      <c r="H210" s="510" t="s">
        <v>78</v>
      </c>
      <c r="I210" s="13" t="s">
        <v>596</v>
      </c>
      <c r="J210" s="34" t="s">
        <v>1623</v>
      </c>
      <c r="K210" s="16" t="s">
        <v>1064</v>
      </c>
      <c r="L210" s="163">
        <v>30.58</v>
      </c>
      <c r="M210" s="163">
        <v>30.58</v>
      </c>
      <c r="N210" s="196">
        <v>15</v>
      </c>
      <c r="P210" s="13" t="s">
        <v>268</v>
      </c>
      <c r="Q210" s="16" t="s">
        <v>269</v>
      </c>
      <c r="R210" s="13" t="s">
        <v>279</v>
      </c>
      <c r="S210" s="15" t="s">
        <v>360</v>
      </c>
      <c r="T210" s="18">
        <v>0</v>
      </c>
      <c r="U210" s="18"/>
      <c r="V210" s="18"/>
      <c r="W210" s="18">
        <f t="shared" si="5"/>
        <v>0</v>
      </c>
      <c r="X210" s="18"/>
      <c r="Y210" s="18"/>
      <c r="Z210" s="21"/>
    </row>
    <row r="211" spans="3:26">
      <c r="C211" s="273"/>
      <c r="D211" s="273"/>
      <c r="E211" s="18" t="s">
        <v>1217</v>
      </c>
      <c r="F211" s="499" t="s">
        <v>376</v>
      </c>
      <c r="G211" s="282" t="s">
        <v>1859</v>
      </c>
      <c r="H211" s="510" t="s">
        <v>78</v>
      </c>
      <c r="I211" s="13" t="s">
        <v>596</v>
      </c>
      <c r="J211" s="34" t="s">
        <v>1624</v>
      </c>
      <c r="K211" s="16" t="s">
        <v>1063</v>
      </c>
      <c r="L211" s="163">
        <v>30.58</v>
      </c>
      <c r="M211" s="163">
        <v>30.58</v>
      </c>
      <c r="N211" s="196">
        <v>15</v>
      </c>
      <c r="P211" s="13" t="s">
        <v>572</v>
      </c>
      <c r="Q211" s="13" t="s">
        <v>572</v>
      </c>
      <c r="R211" s="13" t="s">
        <v>573</v>
      </c>
      <c r="S211" s="18" t="s">
        <v>100</v>
      </c>
      <c r="T211" s="18">
        <v>0</v>
      </c>
      <c r="U211" s="18"/>
      <c r="V211" s="18"/>
      <c r="W211" s="18">
        <f t="shared" si="5"/>
        <v>0</v>
      </c>
      <c r="X211" s="18"/>
      <c r="Y211" s="18"/>
      <c r="Z211" s="21"/>
    </row>
    <row r="212" spans="3:26" ht="15" customHeight="1">
      <c r="C212" s="273"/>
      <c r="D212" s="273"/>
      <c r="E212" s="18" t="s">
        <v>1217</v>
      </c>
      <c r="F212" s="499" t="s">
        <v>376</v>
      </c>
      <c r="G212" s="282" t="s">
        <v>1859</v>
      </c>
      <c r="H212" s="510" t="s">
        <v>78</v>
      </c>
      <c r="I212" s="13" t="s">
        <v>596</v>
      </c>
      <c r="J212" s="34" t="s">
        <v>385</v>
      </c>
      <c r="K212" s="13" t="s">
        <v>1062</v>
      </c>
      <c r="L212" s="163">
        <v>30.58</v>
      </c>
      <c r="M212" s="163">
        <v>30.58</v>
      </c>
      <c r="N212" s="196">
        <v>15</v>
      </c>
      <c r="P212" s="13" t="s">
        <v>572</v>
      </c>
      <c r="Q212" s="13" t="s">
        <v>572</v>
      </c>
      <c r="R212" s="13" t="s">
        <v>573</v>
      </c>
      <c r="S212" s="18" t="s">
        <v>100</v>
      </c>
      <c r="T212" s="18">
        <v>0</v>
      </c>
      <c r="U212" s="18"/>
      <c r="V212" s="18"/>
      <c r="W212" s="18">
        <f t="shared" si="5"/>
        <v>0</v>
      </c>
      <c r="X212" s="18"/>
      <c r="Y212" s="18"/>
      <c r="Z212" s="21"/>
    </row>
    <row r="213" spans="3:26">
      <c r="C213" s="273"/>
      <c r="D213" s="273"/>
      <c r="E213" s="18" t="s">
        <v>1217</v>
      </c>
      <c r="F213" s="499" t="s">
        <v>376</v>
      </c>
      <c r="G213" s="282" t="s">
        <v>1859</v>
      </c>
      <c r="H213" s="510" t="s">
        <v>78</v>
      </c>
      <c r="I213" s="13" t="s">
        <v>596</v>
      </c>
      <c r="J213" s="34" t="s">
        <v>1625</v>
      </c>
      <c r="K213" s="13" t="s">
        <v>1061</v>
      </c>
      <c r="L213" s="163">
        <v>30.58</v>
      </c>
      <c r="M213" s="163">
        <v>30.58</v>
      </c>
      <c r="N213" s="196">
        <v>15</v>
      </c>
      <c r="P213" s="13" t="s">
        <v>572</v>
      </c>
      <c r="Q213" s="13" t="s">
        <v>572</v>
      </c>
      <c r="R213" s="13" t="s">
        <v>573</v>
      </c>
      <c r="S213" s="18" t="s">
        <v>100</v>
      </c>
      <c r="T213" s="18">
        <v>0</v>
      </c>
      <c r="U213" s="18"/>
      <c r="V213" s="18"/>
      <c r="W213" s="18">
        <f t="shared" si="5"/>
        <v>0</v>
      </c>
      <c r="X213" s="18"/>
      <c r="Y213" s="18"/>
      <c r="Z213" s="21"/>
    </row>
    <row r="214" spans="3:26" ht="30">
      <c r="C214" s="273"/>
      <c r="D214" s="273"/>
      <c r="E214" s="18" t="s">
        <v>1217</v>
      </c>
      <c r="F214" s="499" t="s">
        <v>376</v>
      </c>
      <c r="G214" s="282" t="s">
        <v>1859</v>
      </c>
      <c r="H214" s="510" t="s">
        <v>78</v>
      </c>
      <c r="I214" s="13" t="s">
        <v>596</v>
      </c>
      <c r="J214" s="34" t="s">
        <v>384</v>
      </c>
      <c r="K214" s="13" t="s">
        <v>1060</v>
      </c>
      <c r="L214" s="163">
        <v>30.58</v>
      </c>
      <c r="M214" s="163">
        <v>30.58</v>
      </c>
      <c r="N214" s="196">
        <v>15</v>
      </c>
      <c r="P214" s="13" t="s">
        <v>572</v>
      </c>
      <c r="Q214" s="13" t="s">
        <v>572</v>
      </c>
      <c r="R214" s="13" t="s">
        <v>573</v>
      </c>
      <c r="S214" s="18" t="s">
        <v>100</v>
      </c>
      <c r="T214" s="18">
        <v>0</v>
      </c>
      <c r="U214" s="18"/>
      <c r="V214" s="18"/>
      <c r="W214" s="18">
        <f t="shared" si="5"/>
        <v>0</v>
      </c>
      <c r="X214" s="18"/>
      <c r="Y214" s="18"/>
      <c r="Z214" s="21"/>
    </row>
    <row r="215" spans="3:26" ht="30">
      <c r="C215" s="273"/>
      <c r="D215" s="273"/>
      <c r="E215" s="18" t="s">
        <v>1217</v>
      </c>
      <c r="F215" s="499" t="s">
        <v>376</v>
      </c>
      <c r="G215" s="282" t="s">
        <v>1859</v>
      </c>
      <c r="H215" s="510" t="s">
        <v>78</v>
      </c>
      <c r="I215" s="13" t="s">
        <v>596</v>
      </c>
      <c r="J215" s="34" t="s">
        <v>383</v>
      </c>
      <c r="K215" s="13" t="s">
        <v>1059</v>
      </c>
      <c r="L215" s="163">
        <v>30.58</v>
      </c>
      <c r="M215" s="163">
        <v>30.58</v>
      </c>
      <c r="N215" s="196">
        <v>15</v>
      </c>
      <c r="P215" s="13" t="s">
        <v>572</v>
      </c>
      <c r="Q215" s="13" t="s">
        <v>572</v>
      </c>
      <c r="R215" s="13" t="s">
        <v>573</v>
      </c>
      <c r="S215" s="18" t="s">
        <v>100</v>
      </c>
      <c r="T215" s="18">
        <v>0</v>
      </c>
      <c r="U215" s="18"/>
      <c r="V215" s="18"/>
      <c r="W215" s="18">
        <f t="shared" si="5"/>
        <v>0</v>
      </c>
      <c r="X215" s="18"/>
      <c r="Y215" s="18"/>
      <c r="Z215" s="21"/>
    </row>
    <row r="216" spans="3:26">
      <c r="C216" s="273"/>
      <c r="D216" s="273"/>
      <c r="E216" s="18" t="s">
        <v>1217</v>
      </c>
      <c r="F216" s="499" t="s">
        <v>376</v>
      </c>
      <c r="G216" s="282" t="s">
        <v>1859</v>
      </c>
      <c r="H216" s="510" t="s">
        <v>78</v>
      </c>
      <c r="I216" s="13" t="s">
        <v>596</v>
      </c>
      <c r="J216" s="60" t="s">
        <v>382</v>
      </c>
      <c r="K216" s="13" t="s">
        <v>1058</v>
      </c>
      <c r="L216" s="163">
        <v>66.62</v>
      </c>
      <c r="M216" s="163">
        <v>66.62</v>
      </c>
      <c r="N216" s="196">
        <v>15</v>
      </c>
      <c r="P216" s="13" t="s">
        <v>572</v>
      </c>
      <c r="Q216" s="13" t="s">
        <v>572</v>
      </c>
      <c r="R216" s="13" t="s">
        <v>573</v>
      </c>
      <c r="S216" s="18" t="s">
        <v>100</v>
      </c>
      <c r="T216" s="18">
        <v>0</v>
      </c>
      <c r="U216" s="18"/>
      <c r="V216" s="18"/>
      <c r="W216" s="18">
        <f t="shared" si="5"/>
        <v>0</v>
      </c>
      <c r="X216" s="18"/>
      <c r="Y216" s="18"/>
      <c r="Z216" s="21"/>
    </row>
    <row r="217" spans="3:26">
      <c r="C217" s="273"/>
      <c r="D217" s="273"/>
      <c r="E217" s="18" t="s">
        <v>1217</v>
      </c>
      <c r="F217" s="499" t="s">
        <v>376</v>
      </c>
      <c r="G217" s="282" t="s">
        <v>1859</v>
      </c>
      <c r="H217" s="510" t="s">
        <v>78</v>
      </c>
      <c r="I217" s="13" t="s">
        <v>596</v>
      </c>
      <c r="J217" s="60" t="s">
        <v>1626</v>
      </c>
      <c r="K217" s="13" t="s">
        <v>1047</v>
      </c>
      <c r="L217" s="163">
        <v>66.62</v>
      </c>
      <c r="M217" s="163">
        <v>66.62</v>
      </c>
      <c r="N217" s="196">
        <v>50</v>
      </c>
      <c r="O217" s="94"/>
      <c r="P217" s="13" t="s">
        <v>572</v>
      </c>
      <c r="Q217" s="13" t="s">
        <v>572</v>
      </c>
      <c r="R217" s="13" t="s">
        <v>573</v>
      </c>
      <c r="S217" s="18" t="s">
        <v>100</v>
      </c>
      <c r="T217" s="18">
        <v>0</v>
      </c>
      <c r="U217" s="18"/>
      <c r="V217" s="18"/>
      <c r="W217" s="18">
        <f t="shared" si="5"/>
        <v>0</v>
      </c>
      <c r="X217" s="18"/>
      <c r="Y217" s="18"/>
      <c r="Z217" s="21"/>
    </row>
    <row r="218" spans="3:26">
      <c r="C218" s="273"/>
      <c r="D218" s="273"/>
      <c r="E218" s="18" t="s">
        <v>1217</v>
      </c>
      <c r="F218" s="499" t="s">
        <v>376</v>
      </c>
      <c r="G218" s="282" t="s">
        <v>1859</v>
      </c>
      <c r="H218" s="510" t="s">
        <v>78</v>
      </c>
      <c r="I218" s="13" t="s">
        <v>596</v>
      </c>
      <c r="J218" s="34" t="s">
        <v>1627</v>
      </c>
      <c r="K218" s="13" t="s">
        <v>1048</v>
      </c>
      <c r="L218" s="163">
        <v>66.62</v>
      </c>
      <c r="M218" s="163">
        <v>66.62</v>
      </c>
      <c r="N218" s="196">
        <v>25</v>
      </c>
      <c r="O218" s="94"/>
      <c r="P218" s="13" t="s">
        <v>572</v>
      </c>
      <c r="Q218" s="13" t="s">
        <v>572</v>
      </c>
      <c r="R218" s="13" t="s">
        <v>573</v>
      </c>
      <c r="S218" s="18" t="s">
        <v>100</v>
      </c>
      <c r="T218" s="18">
        <v>0</v>
      </c>
      <c r="U218" s="18"/>
      <c r="V218" s="18"/>
      <c r="W218" s="18">
        <f t="shared" si="5"/>
        <v>0</v>
      </c>
      <c r="X218" s="18"/>
      <c r="Y218" s="18"/>
      <c r="Z218" s="21"/>
    </row>
    <row r="219" spans="3:26" ht="30">
      <c r="C219" s="273"/>
      <c r="D219" s="273"/>
      <c r="E219" s="18" t="s">
        <v>1217</v>
      </c>
      <c r="F219" s="499" t="s">
        <v>376</v>
      </c>
      <c r="G219" s="282" t="s">
        <v>1859</v>
      </c>
      <c r="H219" s="510" t="s">
        <v>78</v>
      </c>
      <c r="I219" s="13" t="s">
        <v>208</v>
      </c>
      <c r="J219" s="60" t="s">
        <v>378</v>
      </c>
      <c r="K219" s="13" t="s">
        <v>1049</v>
      </c>
      <c r="L219" s="163">
        <v>15.86</v>
      </c>
      <c r="M219" s="163">
        <v>15.86</v>
      </c>
      <c r="N219" s="196">
        <v>3</v>
      </c>
      <c r="O219" s="94"/>
      <c r="P219" s="13" t="s">
        <v>572</v>
      </c>
      <c r="Q219" s="13" t="s">
        <v>572</v>
      </c>
      <c r="R219" s="13" t="s">
        <v>573</v>
      </c>
      <c r="S219" s="18" t="s">
        <v>100</v>
      </c>
      <c r="T219" s="18">
        <v>0</v>
      </c>
      <c r="U219" s="18"/>
      <c r="V219" s="18"/>
      <c r="W219" s="18">
        <f t="shared" si="5"/>
        <v>0</v>
      </c>
      <c r="X219" s="18"/>
      <c r="Y219" s="18"/>
      <c r="Z219" s="21"/>
    </row>
    <row r="220" spans="3:26" ht="30">
      <c r="C220" s="273"/>
      <c r="D220" s="273"/>
      <c r="E220" s="18" t="s">
        <v>1217</v>
      </c>
      <c r="F220" s="499" t="s">
        <v>376</v>
      </c>
      <c r="G220" s="282" t="s">
        <v>1859</v>
      </c>
      <c r="H220" s="510" t="s">
        <v>78</v>
      </c>
      <c r="I220" s="13" t="s">
        <v>208</v>
      </c>
      <c r="J220" s="60" t="s">
        <v>379</v>
      </c>
      <c r="K220" s="13" t="s">
        <v>1050</v>
      </c>
      <c r="L220" s="163">
        <v>15.86</v>
      </c>
      <c r="M220" s="163">
        <v>15.86</v>
      </c>
      <c r="N220" s="196">
        <v>3</v>
      </c>
      <c r="O220" s="94"/>
      <c r="P220" s="13" t="s">
        <v>572</v>
      </c>
      <c r="Q220" s="13" t="s">
        <v>572</v>
      </c>
      <c r="R220" s="13" t="s">
        <v>573</v>
      </c>
      <c r="S220" s="18" t="s">
        <v>100</v>
      </c>
      <c r="T220" s="18">
        <v>0</v>
      </c>
      <c r="U220" s="18"/>
      <c r="V220" s="18"/>
      <c r="W220" s="18">
        <f t="shared" si="5"/>
        <v>0</v>
      </c>
      <c r="X220" s="18"/>
      <c r="Y220" s="18"/>
      <c r="Z220" s="21"/>
    </row>
    <row r="221" spans="3:26">
      <c r="C221" s="273"/>
      <c r="D221" s="273"/>
      <c r="E221" s="18" t="s">
        <v>1217</v>
      </c>
      <c r="F221" s="499" t="s">
        <v>376</v>
      </c>
      <c r="G221" s="282" t="s">
        <v>1859</v>
      </c>
      <c r="H221" s="510" t="s">
        <v>78</v>
      </c>
      <c r="I221" s="13" t="s">
        <v>596</v>
      </c>
      <c r="J221" s="60" t="s">
        <v>1628</v>
      </c>
      <c r="K221" s="13" t="s">
        <v>1051</v>
      </c>
      <c r="L221" s="163">
        <v>15.86</v>
      </c>
      <c r="M221" s="163">
        <v>15.86</v>
      </c>
      <c r="N221" s="196">
        <v>4</v>
      </c>
      <c r="P221" s="13" t="s">
        <v>268</v>
      </c>
      <c r="Q221" s="16" t="s">
        <v>269</v>
      </c>
      <c r="R221" s="13" t="s">
        <v>279</v>
      </c>
      <c r="S221" s="15" t="s">
        <v>360</v>
      </c>
      <c r="T221" s="18">
        <v>0</v>
      </c>
      <c r="U221" s="18"/>
      <c r="V221" s="18"/>
      <c r="W221" s="18">
        <f t="shared" si="5"/>
        <v>0</v>
      </c>
      <c r="X221" s="18"/>
      <c r="Y221" s="18"/>
      <c r="Z221" s="21"/>
    </row>
    <row r="222" spans="3:26">
      <c r="C222" s="273"/>
      <c r="D222" s="273"/>
      <c r="E222" s="18" t="s">
        <v>1217</v>
      </c>
      <c r="F222" s="499" t="s">
        <v>376</v>
      </c>
      <c r="G222" s="282" t="s">
        <v>1859</v>
      </c>
      <c r="H222" s="510" t="s">
        <v>78</v>
      </c>
      <c r="I222" s="13" t="s">
        <v>596</v>
      </c>
      <c r="J222" s="60" t="s">
        <v>1628</v>
      </c>
      <c r="K222" s="13" t="s">
        <v>1052</v>
      </c>
      <c r="L222" s="163">
        <v>15.86</v>
      </c>
      <c r="M222" s="163">
        <v>15.86</v>
      </c>
      <c r="N222" s="196">
        <v>4</v>
      </c>
      <c r="P222" s="13" t="s">
        <v>572</v>
      </c>
      <c r="Q222" s="13" t="s">
        <v>572</v>
      </c>
      <c r="R222" s="13" t="s">
        <v>573</v>
      </c>
      <c r="T222" s="18">
        <v>0</v>
      </c>
      <c r="U222" s="18"/>
      <c r="V222" s="18"/>
      <c r="W222" s="18">
        <f t="shared" si="5"/>
        <v>0</v>
      </c>
      <c r="X222" s="18"/>
      <c r="Y222" s="18"/>
      <c r="Z222" s="21"/>
    </row>
    <row r="223" spans="3:26">
      <c r="C223" s="273"/>
      <c r="D223" s="273"/>
      <c r="E223" s="18" t="s">
        <v>1217</v>
      </c>
      <c r="F223" s="499" t="s">
        <v>376</v>
      </c>
      <c r="G223" s="282" t="s">
        <v>1859</v>
      </c>
      <c r="H223" s="510" t="s">
        <v>78</v>
      </c>
      <c r="I223" s="13" t="s">
        <v>596</v>
      </c>
      <c r="J223" s="60" t="s">
        <v>1628</v>
      </c>
      <c r="K223" s="13" t="s">
        <v>1053</v>
      </c>
      <c r="L223" s="163">
        <v>15.86</v>
      </c>
      <c r="M223" s="163">
        <v>15.86</v>
      </c>
      <c r="N223" s="196">
        <v>4</v>
      </c>
      <c r="P223" s="13" t="s">
        <v>268</v>
      </c>
      <c r="Q223" s="16" t="s">
        <v>269</v>
      </c>
      <c r="R223" s="13" t="s">
        <v>279</v>
      </c>
      <c r="S223" s="15" t="s">
        <v>360</v>
      </c>
      <c r="T223" s="18">
        <v>0</v>
      </c>
      <c r="U223" s="18"/>
      <c r="V223" s="18"/>
      <c r="W223" s="18">
        <f t="shared" ref="W223:W289" si="6">AVERAGE(T223:V223)</f>
        <v>0</v>
      </c>
      <c r="X223" s="18"/>
      <c r="Y223" s="18"/>
      <c r="Z223" s="21"/>
    </row>
    <row r="224" spans="3:26">
      <c r="C224" s="273"/>
      <c r="D224" s="273"/>
      <c r="E224" s="18" t="s">
        <v>1217</v>
      </c>
      <c r="F224" s="499" t="s">
        <v>376</v>
      </c>
      <c r="G224" s="282" t="s">
        <v>1859</v>
      </c>
      <c r="H224" s="510" t="s">
        <v>78</v>
      </c>
      <c r="I224" s="13" t="s">
        <v>596</v>
      </c>
      <c r="J224" s="60" t="s">
        <v>1628</v>
      </c>
      <c r="K224" s="13" t="s">
        <v>1054</v>
      </c>
      <c r="L224" s="163">
        <v>15.86</v>
      </c>
      <c r="M224" s="163">
        <v>15.86</v>
      </c>
      <c r="N224" s="196">
        <v>4</v>
      </c>
      <c r="P224" s="13" t="s">
        <v>268</v>
      </c>
      <c r="Q224" s="16" t="s">
        <v>269</v>
      </c>
      <c r="R224" s="13" t="s">
        <v>279</v>
      </c>
      <c r="S224" s="15" t="s">
        <v>360</v>
      </c>
      <c r="T224" s="18">
        <v>0</v>
      </c>
      <c r="U224" s="18"/>
      <c r="V224" s="18"/>
      <c r="W224" s="18">
        <f t="shared" si="6"/>
        <v>0</v>
      </c>
      <c r="X224" s="18"/>
      <c r="Y224" s="18"/>
      <c r="Z224" s="21"/>
    </row>
    <row r="225" spans="3:26">
      <c r="C225" s="273"/>
      <c r="D225" s="273"/>
      <c r="E225" s="18" t="s">
        <v>1217</v>
      </c>
      <c r="F225" s="499" t="s">
        <v>376</v>
      </c>
      <c r="G225" s="282" t="s">
        <v>1859</v>
      </c>
      <c r="H225" s="510" t="s">
        <v>78</v>
      </c>
      <c r="I225" s="13" t="s">
        <v>596</v>
      </c>
      <c r="J225" s="60" t="s">
        <v>1628</v>
      </c>
      <c r="K225" s="13" t="s">
        <v>1055</v>
      </c>
      <c r="L225" s="163">
        <v>15.86</v>
      </c>
      <c r="M225" s="163">
        <v>15.86</v>
      </c>
      <c r="N225" s="196">
        <v>3</v>
      </c>
      <c r="P225" s="13" t="s">
        <v>268</v>
      </c>
      <c r="Q225" s="16" t="s">
        <v>269</v>
      </c>
      <c r="R225" s="13" t="s">
        <v>279</v>
      </c>
      <c r="S225" s="15" t="s">
        <v>360</v>
      </c>
      <c r="T225" s="18">
        <v>0</v>
      </c>
      <c r="U225" s="18"/>
      <c r="V225" s="18"/>
      <c r="W225" s="18">
        <f t="shared" si="6"/>
        <v>0</v>
      </c>
      <c r="X225" s="18"/>
      <c r="Y225" s="18"/>
      <c r="Z225" s="21"/>
    </row>
    <row r="226" spans="3:26">
      <c r="C226" s="273"/>
      <c r="D226" s="273"/>
      <c r="E226" s="18" t="s">
        <v>1217</v>
      </c>
      <c r="F226" s="499" t="s">
        <v>376</v>
      </c>
      <c r="G226" s="282" t="s">
        <v>1859</v>
      </c>
      <c r="H226" s="510" t="s">
        <v>78</v>
      </c>
      <c r="I226" s="13" t="s">
        <v>249</v>
      </c>
      <c r="J226" s="60" t="s">
        <v>380</v>
      </c>
      <c r="K226" s="13" t="s">
        <v>1056</v>
      </c>
      <c r="L226" s="163">
        <v>15.86</v>
      </c>
      <c r="M226" s="163">
        <v>15.86</v>
      </c>
      <c r="N226" s="196">
        <v>3</v>
      </c>
      <c r="P226" s="13" t="s">
        <v>268</v>
      </c>
      <c r="Q226" s="16" t="s">
        <v>269</v>
      </c>
      <c r="R226" s="13" t="s">
        <v>279</v>
      </c>
      <c r="S226" s="15" t="s">
        <v>360</v>
      </c>
      <c r="T226" s="18">
        <v>0</v>
      </c>
      <c r="U226" s="18"/>
      <c r="V226" s="18"/>
      <c r="W226" s="18">
        <f t="shared" si="6"/>
        <v>0</v>
      </c>
      <c r="X226" s="18"/>
      <c r="Y226" s="18"/>
      <c r="Z226" s="21"/>
    </row>
    <row r="227" spans="3:26">
      <c r="C227" s="273"/>
      <c r="D227" s="273"/>
      <c r="E227" s="18" t="s">
        <v>1217</v>
      </c>
      <c r="F227" s="499" t="s">
        <v>376</v>
      </c>
      <c r="G227" s="282" t="s">
        <v>1859</v>
      </c>
      <c r="H227" s="510" t="s">
        <v>78</v>
      </c>
      <c r="I227" s="13" t="s">
        <v>596</v>
      </c>
      <c r="J227" s="60" t="s">
        <v>381</v>
      </c>
      <c r="K227" s="13" t="s">
        <v>1057</v>
      </c>
      <c r="L227" s="163">
        <v>66.62</v>
      </c>
      <c r="M227" s="163">
        <v>66.62</v>
      </c>
      <c r="N227" s="196">
        <v>10</v>
      </c>
      <c r="P227" s="13" t="s">
        <v>268</v>
      </c>
      <c r="Q227" s="16" t="s">
        <v>269</v>
      </c>
      <c r="R227" s="13" t="s">
        <v>279</v>
      </c>
      <c r="S227" s="15" t="s">
        <v>360</v>
      </c>
      <c r="T227" s="18">
        <v>0</v>
      </c>
      <c r="U227" s="18"/>
      <c r="V227" s="18"/>
      <c r="W227" s="18">
        <f t="shared" si="6"/>
        <v>0</v>
      </c>
      <c r="X227" s="18"/>
      <c r="Y227" s="18"/>
      <c r="Z227" s="21"/>
    </row>
    <row r="228" spans="3:26">
      <c r="C228" s="273"/>
      <c r="D228" s="273"/>
      <c r="E228" s="18" t="s">
        <v>1217</v>
      </c>
      <c r="F228" s="499" t="s">
        <v>376</v>
      </c>
      <c r="G228" s="282"/>
      <c r="H228" s="510" t="s">
        <v>78</v>
      </c>
      <c r="I228" s="13" t="s">
        <v>192</v>
      </c>
      <c r="J228" s="506" t="s">
        <v>367</v>
      </c>
      <c r="K228" s="503"/>
      <c r="L228" s="503">
        <v>31.71</v>
      </c>
      <c r="M228" s="503">
        <v>31.71</v>
      </c>
      <c r="N228" s="505"/>
      <c r="P228" s="13" t="s">
        <v>268</v>
      </c>
      <c r="Q228" s="16" t="s">
        <v>269</v>
      </c>
      <c r="R228" s="13" t="s">
        <v>279</v>
      </c>
      <c r="S228" s="15" t="s">
        <v>360</v>
      </c>
      <c r="T228" s="18">
        <v>0</v>
      </c>
      <c r="U228" s="18"/>
      <c r="V228" s="18"/>
      <c r="W228" s="18">
        <f t="shared" si="6"/>
        <v>0</v>
      </c>
      <c r="X228" s="18"/>
      <c r="Y228" s="18"/>
      <c r="Z228" s="21"/>
    </row>
    <row r="229" spans="3:26">
      <c r="C229" s="273"/>
      <c r="D229" s="273"/>
      <c r="E229" s="18" t="s">
        <v>1217</v>
      </c>
      <c r="F229" s="499" t="s">
        <v>376</v>
      </c>
      <c r="G229" s="282"/>
      <c r="H229" s="510" t="s">
        <v>78</v>
      </c>
      <c r="I229" s="13" t="s">
        <v>192</v>
      </c>
      <c r="J229" s="506" t="s">
        <v>368</v>
      </c>
      <c r="K229" s="503"/>
      <c r="L229" s="503">
        <v>31.71</v>
      </c>
      <c r="M229" s="503">
        <v>31.71</v>
      </c>
      <c r="N229" s="505"/>
      <c r="P229" s="13" t="s">
        <v>268</v>
      </c>
      <c r="Q229" s="16" t="s">
        <v>269</v>
      </c>
      <c r="R229" s="13" t="s">
        <v>279</v>
      </c>
      <c r="S229" s="15" t="s">
        <v>360</v>
      </c>
      <c r="T229" s="18">
        <v>0</v>
      </c>
      <c r="U229" s="18"/>
      <c r="V229" s="18"/>
      <c r="W229" s="18">
        <f t="shared" si="6"/>
        <v>0</v>
      </c>
      <c r="X229" s="18"/>
      <c r="Y229" s="18"/>
      <c r="Z229" s="21"/>
    </row>
    <row r="230" spans="3:26">
      <c r="C230" s="273"/>
      <c r="D230" s="273"/>
      <c r="E230" s="18" t="s">
        <v>1217</v>
      </c>
      <c r="F230" s="499" t="s">
        <v>376</v>
      </c>
      <c r="G230" s="282"/>
      <c r="H230" s="510" t="s">
        <v>78</v>
      </c>
      <c r="I230" s="13" t="s">
        <v>27</v>
      </c>
      <c r="J230" s="506" t="s">
        <v>1397</v>
      </c>
      <c r="K230" s="503"/>
      <c r="L230" s="503">
        <v>1.72</v>
      </c>
      <c r="M230" s="503">
        <v>1.72</v>
      </c>
      <c r="N230" s="505"/>
      <c r="P230" s="13" t="s">
        <v>268</v>
      </c>
      <c r="Q230" s="16" t="s">
        <v>269</v>
      </c>
      <c r="R230" s="13" t="s">
        <v>279</v>
      </c>
      <c r="S230" s="15" t="s">
        <v>360</v>
      </c>
      <c r="T230" s="18">
        <v>0</v>
      </c>
      <c r="U230" s="18"/>
      <c r="V230" s="18"/>
      <c r="W230" s="18">
        <f t="shared" si="6"/>
        <v>0</v>
      </c>
      <c r="X230" s="18"/>
      <c r="Y230" s="18"/>
      <c r="Z230" s="21"/>
    </row>
    <row r="231" spans="3:26">
      <c r="C231" s="273"/>
      <c r="D231" s="273"/>
      <c r="E231" s="18" t="s">
        <v>1217</v>
      </c>
      <c r="F231" s="499" t="s">
        <v>376</v>
      </c>
      <c r="G231" s="282"/>
      <c r="H231" s="510" t="s">
        <v>78</v>
      </c>
      <c r="I231" s="39" t="s">
        <v>194</v>
      </c>
      <c r="J231" s="503" t="s">
        <v>461</v>
      </c>
      <c r="K231" s="503"/>
      <c r="L231" s="507">
        <f>168.46*2+11</f>
        <v>347.92</v>
      </c>
      <c r="M231" s="507">
        <f>168.46*2+11</f>
        <v>347.92</v>
      </c>
      <c r="N231" s="505"/>
      <c r="P231" s="13" t="s">
        <v>572</v>
      </c>
      <c r="Q231" s="13" t="s">
        <v>572</v>
      </c>
      <c r="R231" s="13" t="s">
        <v>573</v>
      </c>
      <c r="S231" s="18" t="s">
        <v>100</v>
      </c>
      <c r="T231" s="18">
        <v>0</v>
      </c>
      <c r="U231" s="18"/>
      <c r="V231" s="18"/>
      <c r="W231" s="18">
        <f t="shared" si="6"/>
        <v>0</v>
      </c>
      <c r="X231" s="18"/>
      <c r="Y231" s="18"/>
      <c r="Z231" s="21"/>
    </row>
    <row r="232" spans="3:26">
      <c r="C232" s="273"/>
      <c r="D232" s="273"/>
      <c r="E232" s="18" t="s">
        <v>1217</v>
      </c>
      <c r="F232" s="499" t="s">
        <v>376</v>
      </c>
      <c r="G232" s="282" t="s">
        <v>1859</v>
      </c>
      <c r="H232" s="518" t="s">
        <v>370</v>
      </c>
      <c r="I232" s="13" t="s">
        <v>596</v>
      </c>
      <c r="J232" s="60" t="s">
        <v>1629</v>
      </c>
      <c r="K232" s="13" t="s">
        <v>1107</v>
      </c>
      <c r="L232" s="163">
        <v>66.62</v>
      </c>
      <c r="M232" s="163">
        <v>66.62</v>
      </c>
      <c r="N232" s="196">
        <v>25</v>
      </c>
      <c r="P232" s="13" t="s">
        <v>270</v>
      </c>
      <c r="Q232" s="13" t="s">
        <v>269</v>
      </c>
      <c r="R232" s="13" t="s">
        <v>549</v>
      </c>
      <c r="S232" s="18" t="s">
        <v>100</v>
      </c>
      <c r="T232" s="18">
        <v>0</v>
      </c>
      <c r="U232" s="18"/>
      <c r="V232" s="18"/>
      <c r="W232" s="18">
        <f t="shared" si="6"/>
        <v>0</v>
      </c>
      <c r="X232" s="18"/>
      <c r="Y232" s="18"/>
      <c r="Z232" s="21"/>
    </row>
    <row r="233" spans="3:26">
      <c r="C233" s="273"/>
      <c r="D233" s="273"/>
      <c r="E233" s="18" t="s">
        <v>1217</v>
      </c>
      <c r="F233" s="499" t="s">
        <v>376</v>
      </c>
      <c r="G233" s="282" t="s">
        <v>1859</v>
      </c>
      <c r="H233" s="518" t="s">
        <v>370</v>
      </c>
      <c r="I233" s="13" t="s">
        <v>596</v>
      </c>
      <c r="J233" s="60" t="s">
        <v>1630</v>
      </c>
      <c r="K233" s="13" t="s">
        <v>1106</v>
      </c>
      <c r="L233" s="163">
        <v>100.46</v>
      </c>
      <c r="M233" s="163">
        <v>100.46</v>
      </c>
      <c r="N233" s="196">
        <v>30</v>
      </c>
      <c r="P233" s="13" t="s">
        <v>270</v>
      </c>
      <c r="Q233" s="13" t="s">
        <v>269</v>
      </c>
      <c r="R233" s="13" t="s">
        <v>549</v>
      </c>
      <c r="S233" s="18" t="s">
        <v>100</v>
      </c>
      <c r="T233" s="18">
        <v>0</v>
      </c>
      <c r="U233" s="18"/>
      <c r="V233" s="18"/>
      <c r="W233" s="18">
        <f t="shared" si="6"/>
        <v>0</v>
      </c>
      <c r="X233" s="18"/>
      <c r="Y233" s="18"/>
      <c r="Z233" s="21"/>
    </row>
    <row r="234" spans="3:26">
      <c r="C234" s="273"/>
      <c r="D234" s="273"/>
      <c r="E234" s="18" t="s">
        <v>1217</v>
      </c>
      <c r="F234" s="499" t="s">
        <v>376</v>
      </c>
      <c r="G234" s="282" t="s">
        <v>1859</v>
      </c>
      <c r="H234" s="518" t="s">
        <v>370</v>
      </c>
      <c r="I234" s="13" t="s">
        <v>596</v>
      </c>
      <c r="J234" s="60" t="s">
        <v>1631</v>
      </c>
      <c r="K234" s="13" t="s">
        <v>1105</v>
      </c>
      <c r="L234" s="163">
        <v>100.46</v>
      </c>
      <c r="M234" s="163">
        <v>100.46</v>
      </c>
      <c r="N234" s="196">
        <v>20</v>
      </c>
      <c r="P234" s="13" t="s">
        <v>270</v>
      </c>
      <c r="Q234" s="13" t="s">
        <v>269</v>
      </c>
      <c r="R234" s="13" t="s">
        <v>549</v>
      </c>
      <c r="S234" s="18" t="s">
        <v>100</v>
      </c>
      <c r="T234" s="18">
        <v>0</v>
      </c>
      <c r="U234" s="18"/>
      <c r="V234" s="18"/>
      <c r="W234" s="18">
        <f t="shared" si="6"/>
        <v>0</v>
      </c>
      <c r="X234" s="18"/>
      <c r="Y234" s="18"/>
      <c r="Z234" s="21"/>
    </row>
    <row r="235" spans="3:26">
      <c r="C235" s="273"/>
      <c r="D235" s="273"/>
      <c r="E235" s="18" t="s">
        <v>1217</v>
      </c>
      <c r="F235" s="499" t="s">
        <v>376</v>
      </c>
      <c r="G235" s="282" t="s">
        <v>1859</v>
      </c>
      <c r="H235" s="518" t="s">
        <v>370</v>
      </c>
      <c r="I235" s="13" t="s">
        <v>596</v>
      </c>
      <c r="J235" s="60" t="s">
        <v>1632</v>
      </c>
      <c r="K235" s="13" t="s">
        <v>1104</v>
      </c>
      <c r="L235" s="163">
        <v>66.61</v>
      </c>
      <c r="M235" s="163">
        <v>66.61</v>
      </c>
      <c r="N235" s="196">
        <v>25</v>
      </c>
      <c r="P235" s="13" t="s">
        <v>270</v>
      </c>
      <c r="Q235" s="13" t="s">
        <v>269</v>
      </c>
      <c r="R235" s="13" t="s">
        <v>549</v>
      </c>
      <c r="S235" s="18" t="s">
        <v>100</v>
      </c>
      <c r="T235" s="18">
        <v>0</v>
      </c>
      <c r="U235" s="18"/>
      <c r="V235" s="18"/>
      <c r="W235" s="18">
        <f t="shared" si="6"/>
        <v>0</v>
      </c>
      <c r="X235" s="18"/>
      <c r="Y235" s="18"/>
      <c r="Z235" s="21"/>
    </row>
    <row r="236" spans="3:26">
      <c r="C236" s="273"/>
      <c r="D236" s="273"/>
      <c r="E236" s="18" t="s">
        <v>1217</v>
      </c>
      <c r="F236" s="499" t="s">
        <v>376</v>
      </c>
      <c r="G236" s="282" t="s">
        <v>1859</v>
      </c>
      <c r="H236" s="518" t="s">
        <v>370</v>
      </c>
      <c r="I236" s="13" t="s">
        <v>596</v>
      </c>
      <c r="J236" s="60" t="s">
        <v>1633</v>
      </c>
      <c r="K236" s="13" t="s">
        <v>1079</v>
      </c>
      <c r="L236" s="163">
        <v>66.62</v>
      </c>
      <c r="M236" s="163">
        <v>66.62</v>
      </c>
      <c r="N236" s="196">
        <v>50</v>
      </c>
      <c r="P236" s="13" t="s">
        <v>270</v>
      </c>
      <c r="Q236" s="13" t="s">
        <v>269</v>
      </c>
      <c r="R236" s="13" t="s">
        <v>549</v>
      </c>
      <c r="S236" s="18" t="s">
        <v>100</v>
      </c>
      <c r="T236" s="18">
        <v>0</v>
      </c>
      <c r="U236" s="18"/>
      <c r="V236" s="18"/>
      <c r="W236" s="18">
        <f t="shared" si="6"/>
        <v>0</v>
      </c>
      <c r="X236" s="18"/>
      <c r="Y236" s="18"/>
      <c r="Z236" s="21"/>
    </row>
    <row r="237" spans="3:26">
      <c r="C237" s="273"/>
      <c r="D237" s="273"/>
      <c r="E237" s="18" t="s">
        <v>1217</v>
      </c>
      <c r="F237" s="499" t="s">
        <v>376</v>
      </c>
      <c r="G237" s="282" t="s">
        <v>1859</v>
      </c>
      <c r="H237" s="518" t="s">
        <v>370</v>
      </c>
      <c r="I237" s="13" t="s">
        <v>596</v>
      </c>
      <c r="J237" s="60" t="s">
        <v>1634</v>
      </c>
      <c r="K237" s="13" t="s">
        <v>1081</v>
      </c>
      <c r="L237" s="163">
        <v>66.62</v>
      </c>
      <c r="M237" s="163">
        <v>66.62</v>
      </c>
      <c r="N237" s="196">
        <v>50</v>
      </c>
      <c r="P237" s="13" t="s">
        <v>270</v>
      </c>
      <c r="Q237" s="13" t="s">
        <v>269</v>
      </c>
      <c r="R237" s="13" t="s">
        <v>549</v>
      </c>
      <c r="S237" s="18" t="s">
        <v>100</v>
      </c>
      <c r="T237" s="18">
        <v>0</v>
      </c>
      <c r="U237" s="18"/>
      <c r="V237" s="18"/>
      <c r="W237" s="18">
        <f t="shared" si="6"/>
        <v>0</v>
      </c>
      <c r="X237" s="18"/>
      <c r="Y237" s="18"/>
      <c r="Z237" s="21"/>
    </row>
    <row r="238" spans="3:26">
      <c r="C238" s="273"/>
      <c r="D238" s="273"/>
      <c r="E238" s="18" t="s">
        <v>1217</v>
      </c>
      <c r="F238" s="499" t="s">
        <v>376</v>
      </c>
      <c r="G238" s="282" t="s">
        <v>1859</v>
      </c>
      <c r="H238" s="518" t="s">
        <v>370</v>
      </c>
      <c r="I238" s="13" t="s">
        <v>596</v>
      </c>
      <c r="J238" s="60" t="s">
        <v>1080</v>
      </c>
      <c r="K238" s="13" t="s">
        <v>1082</v>
      </c>
      <c r="L238" s="163">
        <v>66.62</v>
      </c>
      <c r="M238" s="163">
        <v>66.62</v>
      </c>
      <c r="N238" s="196">
        <v>50</v>
      </c>
      <c r="P238" s="13" t="s">
        <v>270</v>
      </c>
      <c r="Q238" s="13" t="s">
        <v>269</v>
      </c>
      <c r="R238" s="13" t="s">
        <v>549</v>
      </c>
      <c r="S238" s="18" t="s">
        <v>100</v>
      </c>
      <c r="T238" s="18">
        <v>0</v>
      </c>
      <c r="U238" s="18"/>
      <c r="V238" s="18"/>
      <c r="W238" s="18">
        <f t="shared" si="6"/>
        <v>0</v>
      </c>
      <c r="X238" s="18"/>
      <c r="Y238" s="18"/>
      <c r="Z238" s="21"/>
    </row>
    <row r="239" spans="3:26">
      <c r="C239" s="273"/>
      <c r="D239" s="273"/>
      <c r="E239" s="18" t="s">
        <v>1217</v>
      </c>
      <c r="F239" s="499" t="s">
        <v>376</v>
      </c>
      <c r="G239" s="282" t="s">
        <v>1859</v>
      </c>
      <c r="H239" s="518" t="s">
        <v>370</v>
      </c>
      <c r="I239" s="13" t="s">
        <v>596</v>
      </c>
      <c r="J239" s="60" t="s">
        <v>1083</v>
      </c>
      <c r="K239" s="13" t="s">
        <v>1084</v>
      </c>
      <c r="L239" s="163">
        <v>66.62</v>
      </c>
      <c r="M239" s="163">
        <v>66.62</v>
      </c>
      <c r="N239" s="196">
        <v>25</v>
      </c>
      <c r="P239" s="13" t="s">
        <v>270</v>
      </c>
      <c r="Q239" s="13" t="s">
        <v>269</v>
      </c>
      <c r="R239" s="13" t="s">
        <v>549</v>
      </c>
      <c r="S239" s="18" t="s">
        <v>100</v>
      </c>
      <c r="T239" s="18">
        <v>0</v>
      </c>
      <c r="U239" s="18"/>
      <c r="V239" s="18"/>
      <c r="W239" s="18">
        <f t="shared" si="6"/>
        <v>0</v>
      </c>
      <c r="X239" s="18"/>
      <c r="Y239" s="18"/>
      <c r="Z239" s="21"/>
    </row>
    <row r="240" spans="3:26">
      <c r="C240" s="273"/>
      <c r="D240" s="273"/>
      <c r="E240" s="18" t="s">
        <v>1217</v>
      </c>
      <c r="F240" s="499" t="s">
        <v>376</v>
      </c>
      <c r="G240" s="282" t="s">
        <v>1859</v>
      </c>
      <c r="H240" s="518" t="s">
        <v>370</v>
      </c>
      <c r="I240" s="13" t="s">
        <v>596</v>
      </c>
      <c r="J240" s="60" t="s">
        <v>1102</v>
      </c>
      <c r="K240" s="13" t="s">
        <v>1103</v>
      </c>
      <c r="L240" s="163">
        <v>66.62</v>
      </c>
      <c r="M240" s="163">
        <v>66.61</v>
      </c>
      <c r="N240" s="196">
        <v>25</v>
      </c>
      <c r="P240" s="13" t="s">
        <v>270</v>
      </c>
      <c r="Q240" s="13" t="s">
        <v>269</v>
      </c>
      <c r="R240" s="13" t="s">
        <v>549</v>
      </c>
      <c r="S240" s="18" t="s">
        <v>100</v>
      </c>
      <c r="T240" s="18">
        <v>0</v>
      </c>
      <c r="U240" s="18"/>
      <c r="V240" s="18"/>
      <c r="W240" s="18">
        <f t="shared" si="6"/>
        <v>0</v>
      </c>
      <c r="X240" s="18"/>
      <c r="Y240" s="18"/>
      <c r="Z240" s="21"/>
    </row>
    <row r="241" spans="1:26">
      <c r="C241" s="273"/>
      <c r="D241" s="273"/>
      <c r="E241" s="18" t="s">
        <v>1217</v>
      </c>
      <c r="F241" s="499" t="s">
        <v>376</v>
      </c>
      <c r="G241" s="282"/>
      <c r="H241" s="518" t="s">
        <v>370</v>
      </c>
      <c r="I241" s="13" t="s">
        <v>192</v>
      </c>
      <c r="J241" s="506" t="s">
        <v>367</v>
      </c>
      <c r="K241" s="503"/>
      <c r="L241" s="503">
        <v>31.71</v>
      </c>
      <c r="M241" s="503">
        <v>31.71</v>
      </c>
      <c r="N241" s="505">
        <v>7</v>
      </c>
      <c r="O241" s="505"/>
      <c r="P241" s="13" t="s">
        <v>572</v>
      </c>
      <c r="Q241" s="13" t="s">
        <v>572</v>
      </c>
      <c r="R241" s="13" t="s">
        <v>573</v>
      </c>
      <c r="S241" s="18" t="s">
        <v>100</v>
      </c>
      <c r="T241" s="18">
        <v>0</v>
      </c>
      <c r="U241" s="18"/>
      <c r="V241" s="18"/>
      <c r="W241" s="18">
        <f t="shared" si="6"/>
        <v>0</v>
      </c>
      <c r="X241" s="18"/>
      <c r="Y241" s="18"/>
      <c r="Z241" s="21"/>
    </row>
    <row r="242" spans="1:26">
      <c r="C242" s="273"/>
      <c r="D242" s="273"/>
      <c r="E242" s="18" t="s">
        <v>1217</v>
      </c>
      <c r="F242" s="499" t="s">
        <v>376</v>
      </c>
      <c r="G242" s="282"/>
      <c r="H242" s="518" t="s">
        <v>370</v>
      </c>
      <c r="I242" s="13" t="s">
        <v>192</v>
      </c>
      <c r="J242" s="506" t="s">
        <v>368</v>
      </c>
      <c r="K242" s="503"/>
      <c r="L242" s="503">
        <v>31.71</v>
      </c>
      <c r="M242" s="503">
        <v>31.71</v>
      </c>
      <c r="N242" s="505">
        <v>6</v>
      </c>
      <c r="O242" s="505"/>
      <c r="P242" s="13" t="s">
        <v>572</v>
      </c>
      <c r="Q242" s="13" t="s">
        <v>572</v>
      </c>
      <c r="R242" s="13" t="s">
        <v>573</v>
      </c>
      <c r="S242" s="18" t="s">
        <v>100</v>
      </c>
      <c r="T242" s="18">
        <v>0</v>
      </c>
      <c r="U242" s="18"/>
      <c r="V242" s="18"/>
      <c r="W242" s="18">
        <f t="shared" si="6"/>
        <v>0</v>
      </c>
      <c r="X242" s="18"/>
      <c r="Y242" s="18"/>
      <c r="Z242" s="21"/>
    </row>
    <row r="243" spans="1:26">
      <c r="C243" s="273"/>
      <c r="D243" s="273"/>
      <c r="E243" s="18" t="s">
        <v>1217</v>
      </c>
      <c r="F243" s="499" t="s">
        <v>376</v>
      </c>
      <c r="G243" s="282"/>
      <c r="H243" s="518" t="s">
        <v>370</v>
      </c>
      <c r="I243" s="13" t="s">
        <v>27</v>
      </c>
      <c r="J243" s="506" t="s">
        <v>1397</v>
      </c>
      <c r="K243" s="503"/>
      <c r="L243" s="503">
        <v>1.72</v>
      </c>
      <c r="M243" s="503">
        <v>1.72</v>
      </c>
      <c r="N243" s="505">
        <v>1</v>
      </c>
      <c r="O243" s="505"/>
      <c r="P243" s="13" t="s">
        <v>572</v>
      </c>
      <c r="Q243" s="13" t="s">
        <v>572</v>
      </c>
      <c r="R243" s="13" t="s">
        <v>573</v>
      </c>
      <c r="S243" s="18" t="s">
        <v>100</v>
      </c>
      <c r="T243" s="18">
        <v>0</v>
      </c>
      <c r="U243" s="18"/>
      <c r="V243" s="18"/>
      <c r="W243" s="18">
        <f t="shared" si="6"/>
        <v>0</v>
      </c>
      <c r="X243" s="18"/>
      <c r="Y243" s="18"/>
      <c r="Z243" s="21"/>
    </row>
    <row r="244" spans="1:26" ht="17.25" customHeight="1">
      <c r="A244">
        <f>SUM(L208:L244)</f>
        <v>1793.56</v>
      </c>
      <c r="C244" s="274"/>
      <c r="D244" s="274"/>
      <c r="E244" s="18" t="s">
        <v>1217</v>
      </c>
      <c r="F244" s="499" t="s">
        <v>376</v>
      </c>
      <c r="G244" s="282"/>
      <c r="H244" s="518" t="s">
        <v>370</v>
      </c>
      <c r="I244" s="13" t="s">
        <v>1371</v>
      </c>
      <c r="J244" s="76" t="s">
        <v>1875</v>
      </c>
      <c r="K244" s="76"/>
      <c r="L244" s="76">
        <v>10.11</v>
      </c>
      <c r="M244" s="76">
        <v>10.11</v>
      </c>
      <c r="N244" s="94">
        <v>1</v>
      </c>
      <c r="O244" s="94"/>
      <c r="P244" s="13" t="s">
        <v>268</v>
      </c>
      <c r="Q244" s="16" t="s">
        <v>269</v>
      </c>
      <c r="R244" s="34" t="s">
        <v>279</v>
      </c>
      <c r="S244" s="15" t="s">
        <v>360</v>
      </c>
      <c r="T244" s="18">
        <v>0</v>
      </c>
      <c r="U244" s="18"/>
      <c r="V244" s="18"/>
      <c r="W244" s="18">
        <f t="shared" si="6"/>
        <v>0</v>
      </c>
      <c r="X244" s="18"/>
      <c r="Y244" s="18"/>
      <c r="Z244" s="21"/>
    </row>
    <row r="245" spans="1:26">
      <c r="B245" s="2"/>
      <c r="C245" s="268" t="s">
        <v>1222</v>
      </c>
      <c r="D245" s="268" t="s">
        <v>1222</v>
      </c>
      <c r="E245" s="18" t="s">
        <v>1217</v>
      </c>
      <c r="F245" s="513" t="s">
        <v>335</v>
      </c>
      <c r="G245" s="284"/>
      <c r="H245" s="500" t="s">
        <v>536</v>
      </c>
      <c r="I245" s="39" t="s">
        <v>194</v>
      </c>
      <c r="J245" s="502" t="s">
        <v>336</v>
      </c>
      <c r="K245" s="507"/>
      <c r="L245" s="507">
        <v>34.24</v>
      </c>
      <c r="M245" s="507">
        <v>34.24</v>
      </c>
      <c r="N245" s="505"/>
      <c r="O245" s="505"/>
      <c r="P245" s="13" t="s">
        <v>268</v>
      </c>
      <c r="Q245" s="13" t="s">
        <v>269</v>
      </c>
      <c r="R245" s="13" t="s">
        <v>100</v>
      </c>
      <c r="S245" s="37" t="s">
        <v>100</v>
      </c>
      <c r="T245" s="18">
        <v>0</v>
      </c>
      <c r="U245" s="18"/>
      <c r="V245" s="18"/>
      <c r="W245" s="18">
        <f t="shared" si="6"/>
        <v>0</v>
      </c>
      <c r="X245" s="18"/>
      <c r="Y245" s="18"/>
      <c r="Z245" s="21" t="e">
        <f>SUM(#REF!)</f>
        <v>#REF!</v>
      </c>
    </row>
    <row r="246" spans="1:26">
      <c r="C246" s="270"/>
      <c r="D246" s="270"/>
      <c r="E246" s="18" t="s">
        <v>1217</v>
      </c>
      <c r="F246" s="513" t="s">
        <v>335</v>
      </c>
      <c r="G246" s="284"/>
      <c r="H246" s="500" t="s">
        <v>536</v>
      </c>
      <c r="I246" s="13" t="s">
        <v>355</v>
      </c>
      <c r="J246" s="502" t="s">
        <v>337</v>
      </c>
      <c r="K246" s="507"/>
      <c r="L246" s="507">
        <v>41.08</v>
      </c>
      <c r="M246" s="507">
        <v>41.08</v>
      </c>
      <c r="N246" s="505"/>
      <c r="O246" s="505"/>
      <c r="P246" s="13" t="s">
        <v>572</v>
      </c>
      <c r="Q246" s="13" t="s">
        <v>269</v>
      </c>
      <c r="R246" s="13" t="s">
        <v>100</v>
      </c>
      <c r="S246" s="37" t="s">
        <v>100</v>
      </c>
      <c r="T246" s="18">
        <v>0</v>
      </c>
      <c r="U246" s="18"/>
      <c r="V246" s="18"/>
      <c r="W246" s="18">
        <f t="shared" si="6"/>
        <v>0</v>
      </c>
      <c r="X246" s="18"/>
      <c r="Y246" s="18"/>
      <c r="Z246" s="21"/>
    </row>
    <row r="247" spans="1:26">
      <c r="C247" s="270"/>
      <c r="D247" s="270"/>
      <c r="E247" s="18" t="s">
        <v>1217</v>
      </c>
      <c r="F247" s="513" t="s">
        <v>335</v>
      </c>
      <c r="G247" s="284"/>
      <c r="H247" s="500" t="s">
        <v>536</v>
      </c>
      <c r="I247" s="13" t="s">
        <v>355</v>
      </c>
      <c r="J247" s="502" t="s">
        <v>338</v>
      </c>
      <c r="K247" s="507"/>
      <c r="L247" s="507">
        <v>6.75</v>
      </c>
      <c r="M247" s="507">
        <v>6.75</v>
      </c>
      <c r="N247" s="505"/>
      <c r="O247" s="505"/>
      <c r="P247" s="13" t="s">
        <v>572</v>
      </c>
      <c r="Q247" s="13" t="s">
        <v>572</v>
      </c>
      <c r="R247" s="13" t="s">
        <v>100</v>
      </c>
      <c r="S247" s="37" t="s">
        <v>100</v>
      </c>
      <c r="T247" s="18">
        <v>0</v>
      </c>
      <c r="U247" s="18"/>
      <c r="V247" s="18"/>
      <c r="W247" s="18">
        <f t="shared" si="6"/>
        <v>0</v>
      </c>
      <c r="X247" s="18"/>
      <c r="Y247" s="18"/>
      <c r="Z247" s="21"/>
    </row>
    <row r="248" spans="1:26">
      <c r="C248" s="270"/>
      <c r="D248" s="270"/>
      <c r="E248" s="18" t="s">
        <v>1217</v>
      </c>
      <c r="F248" s="513" t="s">
        <v>335</v>
      </c>
      <c r="G248" s="284"/>
      <c r="H248" s="500" t="s">
        <v>536</v>
      </c>
      <c r="I248" s="13" t="s">
        <v>192</v>
      </c>
      <c r="J248" s="502" t="s">
        <v>339</v>
      </c>
      <c r="K248" s="507"/>
      <c r="L248" s="507">
        <v>2.2200000000000002</v>
      </c>
      <c r="M248" s="507">
        <v>2.2200000000000002</v>
      </c>
      <c r="N248" s="505"/>
      <c r="O248" s="505"/>
      <c r="P248" s="13" t="s">
        <v>572</v>
      </c>
      <c r="Q248" s="13" t="s">
        <v>572</v>
      </c>
      <c r="R248" s="13" t="s">
        <v>100</v>
      </c>
      <c r="S248" s="37" t="s">
        <v>100</v>
      </c>
      <c r="T248" s="18">
        <v>0</v>
      </c>
      <c r="U248" s="18"/>
      <c r="V248" s="18"/>
      <c r="W248" s="18">
        <f t="shared" si="6"/>
        <v>0</v>
      </c>
      <c r="X248" s="18"/>
      <c r="Y248" s="18"/>
      <c r="Z248" s="21"/>
    </row>
    <row r="249" spans="1:26">
      <c r="C249" s="270"/>
      <c r="D249" s="270"/>
      <c r="E249" s="18" t="s">
        <v>1217</v>
      </c>
      <c r="F249" s="513" t="s">
        <v>335</v>
      </c>
      <c r="G249" s="284"/>
      <c r="H249" s="500" t="s">
        <v>536</v>
      </c>
      <c r="I249" s="195" t="s">
        <v>1371</v>
      </c>
      <c r="J249" s="502" t="s">
        <v>340</v>
      </c>
      <c r="K249" s="507"/>
      <c r="L249" s="507">
        <v>2.81</v>
      </c>
      <c r="M249" s="507">
        <v>2.81</v>
      </c>
      <c r="N249" s="505"/>
      <c r="O249" s="505"/>
      <c r="P249" s="13" t="s">
        <v>572</v>
      </c>
      <c r="Q249" s="13" t="s">
        <v>572</v>
      </c>
      <c r="R249" s="13" t="s">
        <v>100</v>
      </c>
      <c r="S249" s="37" t="s">
        <v>100</v>
      </c>
      <c r="T249" s="18">
        <v>0</v>
      </c>
      <c r="U249" s="18"/>
      <c r="V249" s="18"/>
      <c r="W249" s="18">
        <f t="shared" si="6"/>
        <v>0</v>
      </c>
      <c r="X249" s="18"/>
      <c r="Y249" s="18"/>
      <c r="Z249" s="21"/>
    </row>
    <row r="250" spans="1:26">
      <c r="C250" s="270"/>
      <c r="D250" s="270"/>
      <c r="E250" s="18" t="s">
        <v>1217</v>
      </c>
      <c r="F250" s="513" t="s">
        <v>335</v>
      </c>
      <c r="G250" s="284"/>
      <c r="H250" s="500" t="s">
        <v>536</v>
      </c>
      <c r="I250" s="13" t="s">
        <v>192</v>
      </c>
      <c r="J250" s="502" t="s">
        <v>341</v>
      </c>
      <c r="K250" s="507"/>
      <c r="L250" s="507">
        <v>12.98</v>
      </c>
      <c r="M250" s="507">
        <v>12.98</v>
      </c>
      <c r="N250" s="505"/>
      <c r="O250" s="505"/>
      <c r="P250" s="13" t="s">
        <v>572</v>
      </c>
      <c r="Q250" s="13" t="s">
        <v>572</v>
      </c>
      <c r="R250" s="13" t="s">
        <v>100</v>
      </c>
      <c r="S250" s="37" t="s">
        <v>100</v>
      </c>
      <c r="T250" s="18">
        <v>0</v>
      </c>
      <c r="U250" s="18"/>
      <c r="V250" s="18"/>
      <c r="W250" s="18">
        <f t="shared" si="6"/>
        <v>0</v>
      </c>
      <c r="X250" s="18"/>
      <c r="Y250" s="18"/>
      <c r="Z250" s="21"/>
    </row>
    <row r="251" spans="1:26">
      <c r="C251" s="270"/>
      <c r="D251" s="270"/>
      <c r="E251" s="18" t="s">
        <v>1217</v>
      </c>
      <c r="F251" s="513" t="s">
        <v>335</v>
      </c>
      <c r="G251" s="284"/>
      <c r="H251" s="500" t="s">
        <v>536</v>
      </c>
      <c r="I251" s="13" t="s">
        <v>192</v>
      </c>
      <c r="J251" s="502" t="s">
        <v>342</v>
      </c>
      <c r="K251" s="507"/>
      <c r="L251" s="507">
        <v>12.98</v>
      </c>
      <c r="M251" s="507">
        <v>12.98</v>
      </c>
      <c r="N251" s="505"/>
      <c r="O251" s="505"/>
      <c r="P251" s="13" t="s">
        <v>572</v>
      </c>
      <c r="Q251" s="13" t="s">
        <v>572</v>
      </c>
      <c r="R251" s="13" t="s">
        <v>100</v>
      </c>
      <c r="S251" s="37" t="s">
        <v>100</v>
      </c>
      <c r="T251" s="18">
        <v>0</v>
      </c>
      <c r="U251" s="18"/>
      <c r="V251" s="18"/>
      <c r="W251" s="18">
        <f t="shared" si="6"/>
        <v>0</v>
      </c>
      <c r="X251" s="18"/>
      <c r="Y251" s="18"/>
      <c r="Z251" s="21"/>
    </row>
    <row r="252" spans="1:26">
      <c r="C252" s="270"/>
      <c r="D252" s="270"/>
      <c r="E252" s="18" t="s">
        <v>1217</v>
      </c>
      <c r="F252" s="513" t="s">
        <v>335</v>
      </c>
      <c r="G252" s="284"/>
      <c r="H252" s="500" t="s">
        <v>536</v>
      </c>
      <c r="I252" s="13" t="s">
        <v>192</v>
      </c>
      <c r="J252" s="502" t="s">
        <v>344</v>
      </c>
      <c r="K252" s="507"/>
      <c r="L252" s="507">
        <v>2.5499999999999998</v>
      </c>
      <c r="M252" s="507">
        <v>2.5499999999999998</v>
      </c>
      <c r="N252" s="505"/>
      <c r="O252" s="505"/>
      <c r="P252" s="13" t="s">
        <v>572</v>
      </c>
      <c r="Q252" s="13" t="s">
        <v>572</v>
      </c>
      <c r="R252" s="13" t="s">
        <v>100</v>
      </c>
      <c r="S252" s="37" t="s">
        <v>100</v>
      </c>
      <c r="T252" s="18">
        <v>0</v>
      </c>
      <c r="U252" s="18"/>
      <c r="V252" s="18"/>
      <c r="W252" s="18">
        <f t="shared" si="6"/>
        <v>0</v>
      </c>
      <c r="X252" s="18"/>
      <c r="Y252" s="18"/>
      <c r="Z252" s="21"/>
    </row>
    <row r="253" spans="1:26">
      <c r="C253" s="270"/>
      <c r="D253" s="270"/>
      <c r="E253" s="18" t="s">
        <v>1217</v>
      </c>
      <c r="F253" s="513" t="s">
        <v>335</v>
      </c>
      <c r="G253" s="284"/>
      <c r="H253" s="500" t="s">
        <v>536</v>
      </c>
      <c r="I253" s="13" t="s">
        <v>192</v>
      </c>
      <c r="J253" s="502" t="s">
        <v>343</v>
      </c>
      <c r="K253" s="507"/>
      <c r="L253" s="507">
        <v>2.5499999999999998</v>
      </c>
      <c r="M253" s="507">
        <v>2.5499999999999998</v>
      </c>
      <c r="N253" s="505"/>
      <c r="O253" s="505"/>
      <c r="P253" s="13" t="s">
        <v>572</v>
      </c>
      <c r="Q253" s="13" t="s">
        <v>572</v>
      </c>
      <c r="R253" s="13" t="s">
        <v>100</v>
      </c>
      <c r="S253" s="37" t="s">
        <v>100</v>
      </c>
      <c r="T253" s="18">
        <v>0</v>
      </c>
      <c r="U253" s="18"/>
      <c r="V253" s="18"/>
      <c r="W253" s="18">
        <f t="shared" si="6"/>
        <v>0</v>
      </c>
      <c r="X253" s="18"/>
      <c r="Y253" s="18"/>
      <c r="Z253" s="21"/>
    </row>
    <row r="254" spans="1:26">
      <c r="C254" s="270"/>
      <c r="D254" s="270"/>
      <c r="E254" s="18" t="s">
        <v>1217</v>
      </c>
      <c r="F254" s="513" t="s">
        <v>335</v>
      </c>
      <c r="G254" s="284" t="s">
        <v>388</v>
      </c>
      <c r="H254" s="500" t="s">
        <v>536</v>
      </c>
      <c r="I254" s="13" t="s">
        <v>110</v>
      </c>
      <c r="J254" s="34" t="s">
        <v>345</v>
      </c>
      <c r="L254" s="163">
        <v>395.7</v>
      </c>
      <c r="M254" s="163">
        <v>395.7</v>
      </c>
      <c r="N254" s="196">
        <v>302</v>
      </c>
      <c r="P254" s="13" t="s">
        <v>356</v>
      </c>
      <c r="Q254" s="13" t="s">
        <v>356</v>
      </c>
      <c r="R254" s="13" t="s">
        <v>100</v>
      </c>
      <c r="S254" s="37" t="s">
        <v>100</v>
      </c>
      <c r="T254" s="18">
        <v>0</v>
      </c>
      <c r="U254" s="18"/>
      <c r="V254" s="18"/>
      <c r="W254" s="18">
        <f t="shared" si="6"/>
        <v>0</v>
      </c>
      <c r="X254" s="18"/>
      <c r="Y254" s="18"/>
      <c r="Z254" s="21"/>
    </row>
    <row r="255" spans="1:26">
      <c r="C255" s="270"/>
      <c r="D255" s="270"/>
      <c r="E255" s="18" t="s">
        <v>1217</v>
      </c>
      <c r="F255" s="513" t="s">
        <v>335</v>
      </c>
      <c r="G255" s="284"/>
      <c r="H255" s="500" t="s">
        <v>536</v>
      </c>
      <c r="I255" s="13" t="s">
        <v>355</v>
      </c>
      <c r="J255" s="502" t="s">
        <v>205</v>
      </c>
      <c r="K255" s="507"/>
      <c r="L255" s="507">
        <v>2.2999999999999998</v>
      </c>
      <c r="M255" s="507">
        <v>2.2999999999999998</v>
      </c>
      <c r="N255" s="505"/>
      <c r="O255" s="505"/>
      <c r="P255" s="13" t="s">
        <v>268</v>
      </c>
      <c r="Q255" s="13" t="s">
        <v>269</v>
      </c>
      <c r="R255" s="13" t="s">
        <v>100</v>
      </c>
      <c r="S255" s="37" t="s">
        <v>100</v>
      </c>
      <c r="T255" s="18">
        <v>0</v>
      </c>
      <c r="U255" s="18"/>
      <c r="V255" s="18"/>
      <c r="W255" s="18">
        <f t="shared" si="6"/>
        <v>0</v>
      </c>
      <c r="X255" s="18"/>
      <c r="Y255" s="18"/>
      <c r="Z255" s="21"/>
    </row>
    <row r="256" spans="1:26">
      <c r="C256" s="270"/>
      <c r="D256" s="270"/>
      <c r="E256" s="18" t="s">
        <v>1217</v>
      </c>
      <c r="F256" s="513" t="s">
        <v>335</v>
      </c>
      <c r="G256" s="284"/>
      <c r="H256" s="500" t="s">
        <v>536</v>
      </c>
      <c r="I256" s="13" t="s">
        <v>355</v>
      </c>
      <c r="J256" s="502" t="s">
        <v>254</v>
      </c>
      <c r="K256" s="507"/>
      <c r="L256" s="507">
        <v>8.98</v>
      </c>
      <c r="M256" s="507">
        <v>8.98</v>
      </c>
      <c r="N256" s="505"/>
      <c r="O256" s="505"/>
      <c r="P256" s="13" t="s">
        <v>268</v>
      </c>
      <c r="Q256" s="13" t="s">
        <v>269</v>
      </c>
      <c r="R256" s="13" t="s">
        <v>100</v>
      </c>
      <c r="S256" s="37" t="s">
        <v>100</v>
      </c>
      <c r="T256" s="18">
        <v>0</v>
      </c>
      <c r="U256" s="18"/>
      <c r="V256" s="18"/>
      <c r="W256" s="18">
        <f t="shared" si="6"/>
        <v>0</v>
      </c>
      <c r="X256" s="18"/>
      <c r="Y256" s="18"/>
      <c r="Z256" s="21"/>
    </row>
    <row r="257" spans="1:26">
      <c r="C257" s="270"/>
      <c r="D257" s="270"/>
      <c r="E257" s="18" t="s">
        <v>1217</v>
      </c>
      <c r="F257" s="513" t="s">
        <v>335</v>
      </c>
      <c r="G257" s="284"/>
      <c r="H257" s="500" t="s">
        <v>536</v>
      </c>
      <c r="I257" s="13" t="s">
        <v>192</v>
      </c>
      <c r="J257" s="502" t="s">
        <v>346</v>
      </c>
      <c r="K257" s="507"/>
      <c r="L257" s="507">
        <v>3.49</v>
      </c>
      <c r="M257" s="507">
        <v>3.49</v>
      </c>
      <c r="N257" s="505"/>
      <c r="O257" s="505"/>
      <c r="P257" s="13" t="s">
        <v>572</v>
      </c>
      <c r="Q257" s="13" t="s">
        <v>572</v>
      </c>
      <c r="R257" s="13" t="s">
        <v>100</v>
      </c>
      <c r="S257" s="37" t="s">
        <v>100</v>
      </c>
      <c r="T257" s="18">
        <v>0</v>
      </c>
      <c r="U257" s="18"/>
      <c r="V257" s="18"/>
      <c r="W257" s="18">
        <f t="shared" si="6"/>
        <v>0</v>
      </c>
      <c r="X257" s="18"/>
      <c r="Y257" s="18"/>
      <c r="Z257" s="21"/>
    </row>
    <row r="258" spans="1:26">
      <c r="C258" s="270"/>
      <c r="D258" s="270"/>
      <c r="E258" s="18" t="s">
        <v>1217</v>
      </c>
      <c r="F258" s="513" t="s">
        <v>335</v>
      </c>
      <c r="G258" s="282" t="s">
        <v>1859</v>
      </c>
      <c r="H258" s="500" t="s">
        <v>536</v>
      </c>
      <c r="I258" s="13" t="s">
        <v>596</v>
      </c>
      <c r="J258" s="34" t="s">
        <v>1108</v>
      </c>
      <c r="K258" s="13" t="s">
        <v>1109</v>
      </c>
      <c r="L258" s="163">
        <v>114.86</v>
      </c>
      <c r="M258" s="163">
        <v>114.86</v>
      </c>
      <c r="N258" s="196">
        <v>30</v>
      </c>
      <c r="P258" s="13" t="s">
        <v>268</v>
      </c>
      <c r="Q258" s="13" t="s">
        <v>269</v>
      </c>
      <c r="R258" s="13" t="s">
        <v>100</v>
      </c>
      <c r="S258" s="37" t="s">
        <v>100</v>
      </c>
      <c r="T258" s="18">
        <v>0</v>
      </c>
      <c r="U258" s="18"/>
      <c r="V258" s="18"/>
      <c r="W258" s="18">
        <f t="shared" si="6"/>
        <v>0</v>
      </c>
      <c r="X258" s="18"/>
      <c r="Y258" s="18"/>
      <c r="Z258" s="21"/>
    </row>
    <row r="259" spans="1:26">
      <c r="C259" s="270"/>
      <c r="D259" s="270"/>
      <c r="E259" s="18" t="s">
        <v>1217</v>
      </c>
      <c r="F259" s="513" t="s">
        <v>335</v>
      </c>
      <c r="G259" s="284"/>
      <c r="H259" s="500" t="s">
        <v>536</v>
      </c>
      <c r="I259" s="39" t="s">
        <v>194</v>
      </c>
      <c r="J259" s="502" t="s">
        <v>347</v>
      </c>
      <c r="K259" s="507"/>
      <c r="L259" s="507">
        <v>8.0399999999999991</v>
      </c>
      <c r="M259" s="507">
        <v>8.0399999999999991</v>
      </c>
      <c r="N259" s="505"/>
      <c r="O259" s="505"/>
      <c r="P259" s="13" t="s">
        <v>268</v>
      </c>
      <c r="Q259" s="13" t="s">
        <v>269</v>
      </c>
      <c r="R259" s="13" t="s">
        <v>100</v>
      </c>
      <c r="S259" s="37" t="s">
        <v>100</v>
      </c>
      <c r="T259" s="18">
        <v>0</v>
      </c>
      <c r="U259" s="18"/>
      <c r="V259" s="18"/>
      <c r="W259" s="18">
        <f t="shared" si="6"/>
        <v>0</v>
      </c>
      <c r="X259" s="18"/>
      <c r="Y259" s="18"/>
      <c r="Z259" s="21"/>
    </row>
    <row r="260" spans="1:26">
      <c r="C260" s="270"/>
      <c r="D260" s="270"/>
      <c r="E260" s="18" t="s">
        <v>1217</v>
      </c>
      <c r="F260" s="513" t="s">
        <v>335</v>
      </c>
      <c r="G260" s="284"/>
      <c r="H260" s="500" t="s">
        <v>536</v>
      </c>
      <c r="I260" s="195" t="s">
        <v>1371</v>
      </c>
      <c r="J260" s="502" t="s">
        <v>348</v>
      </c>
      <c r="K260" s="507"/>
      <c r="L260" s="507">
        <v>11.16</v>
      </c>
      <c r="M260" s="507">
        <v>11.16</v>
      </c>
      <c r="N260" s="505">
        <v>2</v>
      </c>
      <c r="O260" s="505"/>
      <c r="P260" s="13" t="s">
        <v>268</v>
      </c>
      <c r="Q260" s="13" t="s">
        <v>269</v>
      </c>
      <c r="R260" s="13" t="s">
        <v>100</v>
      </c>
      <c r="S260" s="37" t="s">
        <v>100</v>
      </c>
      <c r="T260" s="18">
        <v>0</v>
      </c>
      <c r="U260" s="18"/>
      <c r="V260" s="18"/>
      <c r="W260" s="18">
        <f t="shared" si="6"/>
        <v>0</v>
      </c>
      <c r="X260" s="18"/>
      <c r="Y260" s="18"/>
      <c r="Z260" s="21"/>
    </row>
    <row r="261" spans="1:26">
      <c r="C261" s="270"/>
      <c r="D261" s="270"/>
      <c r="E261" s="18" t="s">
        <v>1217</v>
      </c>
      <c r="F261" s="513" t="s">
        <v>335</v>
      </c>
      <c r="G261" s="284"/>
      <c r="H261" s="500" t="s">
        <v>536</v>
      </c>
      <c r="I261" s="39" t="s">
        <v>194</v>
      </c>
      <c r="J261" s="502" t="s">
        <v>349</v>
      </c>
      <c r="K261" s="507"/>
      <c r="L261" s="507">
        <v>7.65</v>
      </c>
      <c r="M261" s="507">
        <v>7.65</v>
      </c>
      <c r="N261" s="505">
        <v>0</v>
      </c>
      <c r="O261" s="505"/>
      <c r="P261" s="13" t="s">
        <v>268</v>
      </c>
      <c r="Q261" s="13" t="s">
        <v>269</v>
      </c>
      <c r="R261" s="13" t="s">
        <v>100</v>
      </c>
      <c r="S261" s="37" t="s">
        <v>100</v>
      </c>
      <c r="T261" s="18">
        <v>0</v>
      </c>
      <c r="U261" s="18"/>
      <c r="V261" s="18"/>
      <c r="W261" s="18">
        <f t="shared" si="6"/>
        <v>0</v>
      </c>
      <c r="X261" s="18"/>
      <c r="Y261" s="18"/>
      <c r="Z261" s="21"/>
    </row>
    <row r="262" spans="1:26">
      <c r="C262" s="270"/>
      <c r="D262" s="270"/>
      <c r="E262" s="18" t="s">
        <v>1217</v>
      </c>
      <c r="F262" s="513" t="s">
        <v>335</v>
      </c>
      <c r="G262" s="284"/>
      <c r="H262" s="500" t="s">
        <v>536</v>
      </c>
      <c r="I262" s="13" t="s">
        <v>192</v>
      </c>
      <c r="J262" s="502" t="s">
        <v>350</v>
      </c>
      <c r="K262" s="507"/>
      <c r="L262" s="507">
        <v>3</v>
      </c>
      <c r="M262" s="507">
        <v>3</v>
      </c>
      <c r="N262" s="505">
        <v>1</v>
      </c>
      <c r="O262" s="505"/>
      <c r="P262" s="13" t="s">
        <v>572</v>
      </c>
      <c r="Q262" s="13" t="s">
        <v>572</v>
      </c>
      <c r="R262" s="13" t="s">
        <v>100</v>
      </c>
      <c r="S262" s="37" t="s">
        <v>100</v>
      </c>
      <c r="T262" s="18">
        <v>0</v>
      </c>
      <c r="U262" s="18"/>
      <c r="V262" s="18"/>
      <c r="W262" s="18">
        <f t="shared" si="6"/>
        <v>0</v>
      </c>
      <c r="X262" s="18"/>
      <c r="Y262" s="18"/>
      <c r="Z262" s="21"/>
    </row>
    <row r="263" spans="1:26">
      <c r="C263" s="270"/>
      <c r="D263" s="270"/>
      <c r="E263" s="18" t="s">
        <v>1217</v>
      </c>
      <c r="F263" s="513" t="s">
        <v>335</v>
      </c>
      <c r="G263" s="284"/>
      <c r="H263" s="500" t="s">
        <v>536</v>
      </c>
      <c r="I263" s="13" t="s">
        <v>192</v>
      </c>
      <c r="J263" s="502" t="s">
        <v>351</v>
      </c>
      <c r="K263" s="507"/>
      <c r="L263" s="507">
        <v>3.3</v>
      </c>
      <c r="M263" s="507">
        <v>3.3</v>
      </c>
      <c r="N263" s="505">
        <v>1</v>
      </c>
      <c r="O263" s="505"/>
      <c r="P263" s="13" t="s">
        <v>572</v>
      </c>
      <c r="Q263" s="13" t="s">
        <v>572</v>
      </c>
      <c r="R263" s="13" t="s">
        <v>100</v>
      </c>
      <c r="S263" s="37" t="s">
        <v>100</v>
      </c>
      <c r="T263" s="18">
        <v>0</v>
      </c>
      <c r="U263" s="18"/>
      <c r="V263" s="18"/>
      <c r="W263" s="18">
        <f t="shared" si="6"/>
        <v>0</v>
      </c>
      <c r="X263" s="18"/>
      <c r="Y263" s="18"/>
      <c r="Z263" s="21"/>
    </row>
    <row r="264" spans="1:26">
      <c r="C264" s="270"/>
      <c r="D264" s="270"/>
      <c r="E264" s="18" t="s">
        <v>1217</v>
      </c>
      <c r="F264" s="513" t="s">
        <v>335</v>
      </c>
      <c r="G264" s="284"/>
      <c r="H264" s="500" t="s">
        <v>536</v>
      </c>
      <c r="I264" s="39" t="s">
        <v>194</v>
      </c>
      <c r="J264" s="502" t="s">
        <v>352</v>
      </c>
      <c r="K264" s="507"/>
      <c r="L264" s="507">
        <v>7.73</v>
      </c>
      <c r="M264" s="507">
        <v>7.73</v>
      </c>
      <c r="N264" s="505">
        <v>0</v>
      </c>
      <c r="O264" s="505"/>
      <c r="P264" s="13" t="s">
        <v>268</v>
      </c>
      <c r="Q264" s="13" t="s">
        <v>269</v>
      </c>
      <c r="R264" s="13" t="s">
        <v>100</v>
      </c>
      <c r="S264" s="37" t="s">
        <v>100</v>
      </c>
      <c r="T264" s="18">
        <v>0</v>
      </c>
      <c r="U264" s="18"/>
      <c r="V264" s="18"/>
      <c r="W264" s="18">
        <f t="shared" si="6"/>
        <v>0</v>
      </c>
      <c r="X264" s="18"/>
      <c r="Y264" s="18"/>
      <c r="Z264" s="21"/>
    </row>
    <row r="265" spans="1:26">
      <c r="C265" s="270"/>
      <c r="D265" s="270"/>
      <c r="E265" s="18" t="s">
        <v>1217</v>
      </c>
      <c r="F265" s="513" t="s">
        <v>335</v>
      </c>
      <c r="G265" s="282" t="s">
        <v>1859</v>
      </c>
      <c r="H265" s="500" t="s">
        <v>536</v>
      </c>
      <c r="I265" s="13" t="s">
        <v>596</v>
      </c>
      <c r="J265" s="34" t="s">
        <v>353</v>
      </c>
      <c r="L265" s="13">
        <v>16.04</v>
      </c>
      <c r="M265" s="13">
        <v>16.04</v>
      </c>
      <c r="N265" s="196">
        <v>5</v>
      </c>
      <c r="P265" s="13" t="s">
        <v>268</v>
      </c>
      <c r="Q265" s="13" t="s">
        <v>269</v>
      </c>
      <c r="R265" s="13" t="s">
        <v>100</v>
      </c>
      <c r="S265" s="37" t="s">
        <v>100</v>
      </c>
      <c r="T265" s="18">
        <v>0</v>
      </c>
      <c r="U265" s="18"/>
      <c r="V265" s="18"/>
      <c r="W265" s="18">
        <f t="shared" si="6"/>
        <v>0</v>
      </c>
      <c r="X265" s="18"/>
      <c r="Y265" s="18"/>
      <c r="Z265" s="21"/>
    </row>
    <row r="266" spans="1:26">
      <c r="C266" s="270"/>
      <c r="D266" s="270"/>
      <c r="E266" s="18" t="s">
        <v>1217</v>
      </c>
      <c r="F266" s="513" t="s">
        <v>335</v>
      </c>
      <c r="G266" s="284"/>
      <c r="H266" s="500" t="s">
        <v>536</v>
      </c>
      <c r="I266" s="13" t="s">
        <v>355</v>
      </c>
      <c r="J266" s="502" t="s">
        <v>354</v>
      </c>
      <c r="K266" s="507"/>
      <c r="L266" s="507">
        <v>7.97</v>
      </c>
      <c r="M266" s="507">
        <v>7.97</v>
      </c>
      <c r="N266" s="505">
        <v>0</v>
      </c>
      <c r="O266" s="505"/>
      <c r="P266" s="13" t="s">
        <v>268</v>
      </c>
      <c r="Q266" s="13" t="s">
        <v>269</v>
      </c>
      <c r="R266" s="13" t="s">
        <v>100</v>
      </c>
      <c r="S266" s="37" t="s">
        <v>100</v>
      </c>
      <c r="T266" s="18">
        <v>0</v>
      </c>
      <c r="U266" s="18"/>
      <c r="V266" s="18"/>
      <c r="W266" s="18">
        <f t="shared" si="6"/>
        <v>0</v>
      </c>
      <c r="X266" s="18"/>
      <c r="Y266" s="18"/>
      <c r="Z266" s="21"/>
    </row>
    <row r="267" spans="1:26">
      <c r="C267" s="270"/>
      <c r="D267" s="270"/>
      <c r="E267" s="18" t="s">
        <v>1217</v>
      </c>
      <c r="F267" s="513" t="s">
        <v>335</v>
      </c>
      <c r="G267" s="284"/>
      <c r="H267" s="500" t="s">
        <v>536</v>
      </c>
      <c r="I267" s="39" t="s">
        <v>194</v>
      </c>
      <c r="J267" s="502" t="s">
        <v>519</v>
      </c>
      <c r="K267" s="507"/>
      <c r="L267" s="507">
        <v>8.18</v>
      </c>
      <c r="M267" s="507">
        <v>8.18</v>
      </c>
      <c r="N267" s="505">
        <v>0</v>
      </c>
      <c r="O267" s="505"/>
      <c r="P267" s="13" t="s">
        <v>268</v>
      </c>
      <c r="Q267" s="13" t="s">
        <v>269</v>
      </c>
      <c r="R267" s="13" t="s">
        <v>100</v>
      </c>
      <c r="S267" s="37" t="s">
        <v>100</v>
      </c>
      <c r="T267" s="18">
        <v>0</v>
      </c>
      <c r="U267" s="18"/>
      <c r="V267" s="18"/>
      <c r="W267" s="18">
        <f t="shared" si="6"/>
        <v>0</v>
      </c>
      <c r="X267" s="18"/>
      <c r="Y267" s="18"/>
      <c r="Z267" s="21"/>
    </row>
    <row r="268" spans="1:26">
      <c r="A268">
        <f>SUM(L245:L268)</f>
        <v>753.11999999999989</v>
      </c>
      <c r="C268" s="269"/>
      <c r="D268" s="269"/>
      <c r="E268" s="18" t="s">
        <v>1217</v>
      </c>
      <c r="F268" s="513" t="s">
        <v>335</v>
      </c>
      <c r="G268" s="282" t="s">
        <v>1859</v>
      </c>
      <c r="H268" s="500" t="s">
        <v>636</v>
      </c>
      <c r="I268" s="39" t="s">
        <v>596</v>
      </c>
      <c r="J268" s="34" t="s">
        <v>637</v>
      </c>
      <c r="L268" s="13">
        <v>36.56</v>
      </c>
      <c r="M268" s="13">
        <v>36.56</v>
      </c>
      <c r="N268" s="196">
        <v>0</v>
      </c>
      <c r="P268" s="13" t="s">
        <v>268</v>
      </c>
      <c r="Q268" s="13" t="s">
        <v>269</v>
      </c>
      <c r="R268" s="13" t="s">
        <v>100</v>
      </c>
      <c r="S268" s="37"/>
      <c r="T268" s="18"/>
      <c r="U268" s="18"/>
      <c r="V268" s="18"/>
      <c r="W268" s="18"/>
      <c r="X268" s="18"/>
      <c r="Y268" s="18"/>
      <c r="Z268" s="18"/>
    </row>
    <row r="269" spans="1:26">
      <c r="C269" s="48" t="s">
        <v>1222</v>
      </c>
      <c r="D269" s="48" t="s">
        <v>1222</v>
      </c>
      <c r="E269" s="18" t="s">
        <v>1217</v>
      </c>
      <c r="F269" s="499" t="s">
        <v>387</v>
      </c>
      <c r="G269" s="282"/>
      <c r="H269" s="519" t="s">
        <v>242</v>
      </c>
      <c r="I269" s="13" t="s">
        <v>249</v>
      </c>
      <c r="J269" s="60" t="s">
        <v>1207</v>
      </c>
      <c r="K269" s="16" t="s">
        <v>1127</v>
      </c>
      <c r="L269" s="13">
        <v>43.78</v>
      </c>
      <c r="M269" s="13">
        <v>43.78</v>
      </c>
      <c r="N269" s="196">
        <v>7</v>
      </c>
      <c r="P269" s="13" t="s">
        <v>268</v>
      </c>
      <c r="Q269" s="13" t="s">
        <v>269</v>
      </c>
      <c r="R269" s="13" t="s">
        <v>280</v>
      </c>
      <c r="S269" s="15" t="s">
        <v>520</v>
      </c>
      <c r="T269" s="18">
        <v>0</v>
      </c>
      <c r="U269" s="18"/>
      <c r="V269" s="18"/>
      <c r="W269" s="18">
        <f t="shared" si="6"/>
        <v>0</v>
      </c>
      <c r="X269" s="18"/>
      <c r="Y269" s="18"/>
      <c r="Z269" s="21" t="e">
        <f>SUM(#REF!)</f>
        <v>#REF!</v>
      </c>
    </row>
    <row r="270" spans="1:26">
      <c r="C270" s="48" t="s">
        <v>1222</v>
      </c>
      <c r="D270" s="48" t="s">
        <v>1222</v>
      </c>
      <c r="E270" s="18" t="s">
        <v>1217</v>
      </c>
      <c r="F270" s="499" t="s">
        <v>387</v>
      </c>
      <c r="G270" s="282"/>
      <c r="H270" s="519" t="s">
        <v>242</v>
      </c>
      <c r="I270" s="13" t="s">
        <v>249</v>
      </c>
      <c r="J270" s="60" t="s">
        <v>1914</v>
      </c>
      <c r="K270" s="16" t="s">
        <v>1128</v>
      </c>
      <c r="L270" s="13">
        <v>58.7</v>
      </c>
      <c r="M270" s="13">
        <v>58.7</v>
      </c>
      <c r="N270" s="196">
        <v>10</v>
      </c>
      <c r="P270" s="13" t="s">
        <v>268</v>
      </c>
      <c r="Q270" s="13" t="s">
        <v>269</v>
      </c>
      <c r="R270" s="13" t="s">
        <v>280</v>
      </c>
      <c r="S270" s="15" t="s">
        <v>520</v>
      </c>
      <c r="T270" s="18">
        <v>0</v>
      </c>
      <c r="U270" s="18"/>
      <c r="V270" s="18"/>
      <c r="W270" s="18">
        <f t="shared" si="6"/>
        <v>0</v>
      </c>
      <c r="X270" s="18"/>
      <c r="Y270" s="18"/>
      <c r="Z270" s="21"/>
    </row>
    <row r="271" spans="1:26">
      <c r="C271" s="48" t="s">
        <v>1222</v>
      </c>
      <c r="D271" s="48" t="s">
        <v>1222</v>
      </c>
      <c r="E271" s="18" t="s">
        <v>1217</v>
      </c>
      <c r="F271" s="499" t="s">
        <v>387</v>
      </c>
      <c r="G271" s="282"/>
      <c r="H271" s="519" t="s">
        <v>242</v>
      </c>
      <c r="I271" s="13" t="s">
        <v>249</v>
      </c>
      <c r="J271" s="60" t="s">
        <v>388</v>
      </c>
      <c r="K271" s="16" t="s">
        <v>1129</v>
      </c>
      <c r="L271" s="13">
        <v>58.7</v>
      </c>
      <c r="M271" s="13">
        <v>58.7</v>
      </c>
      <c r="N271" s="196">
        <v>10</v>
      </c>
      <c r="P271" s="13" t="s">
        <v>268</v>
      </c>
      <c r="Q271" s="13" t="s">
        <v>269</v>
      </c>
      <c r="R271" s="13" t="s">
        <v>280</v>
      </c>
      <c r="S271" s="15" t="s">
        <v>520</v>
      </c>
      <c r="T271" s="18">
        <v>0</v>
      </c>
      <c r="U271" s="18"/>
      <c r="V271" s="18"/>
      <c r="W271" s="18">
        <f t="shared" si="6"/>
        <v>0</v>
      </c>
      <c r="X271" s="18"/>
      <c r="Y271" s="18"/>
      <c r="Z271" s="21"/>
    </row>
    <row r="272" spans="1:26">
      <c r="C272" s="48" t="s">
        <v>1222</v>
      </c>
      <c r="D272" s="48" t="s">
        <v>1222</v>
      </c>
      <c r="E272" s="18" t="s">
        <v>1217</v>
      </c>
      <c r="F272" s="499" t="s">
        <v>387</v>
      </c>
      <c r="G272" s="282"/>
      <c r="H272" s="519" t="s">
        <v>242</v>
      </c>
      <c r="I272" s="13" t="s">
        <v>249</v>
      </c>
      <c r="J272" s="60" t="s">
        <v>1635</v>
      </c>
      <c r="K272" s="16" t="s">
        <v>1130</v>
      </c>
      <c r="L272" s="13">
        <v>58.7</v>
      </c>
      <c r="M272" s="13">
        <v>58.7</v>
      </c>
      <c r="N272" s="196">
        <v>10</v>
      </c>
      <c r="P272" s="13" t="s">
        <v>268</v>
      </c>
      <c r="Q272" s="13" t="s">
        <v>269</v>
      </c>
      <c r="R272" s="13" t="s">
        <v>280</v>
      </c>
      <c r="S272" s="15" t="s">
        <v>520</v>
      </c>
      <c r="T272" s="18">
        <v>0</v>
      </c>
      <c r="U272" s="18"/>
      <c r="V272" s="18"/>
      <c r="W272" s="18">
        <f t="shared" si="6"/>
        <v>0</v>
      </c>
      <c r="X272" s="18"/>
      <c r="Y272" s="18"/>
      <c r="Z272" s="21"/>
    </row>
    <row r="273" spans="3:26">
      <c r="C273" s="48" t="s">
        <v>1222</v>
      </c>
      <c r="D273" s="48" t="s">
        <v>1222</v>
      </c>
      <c r="E273" s="18" t="s">
        <v>1217</v>
      </c>
      <c r="F273" s="499" t="s">
        <v>387</v>
      </c>
      <c r="G273" s="282"/>
      <c r="H273" s="519" t="s">
        <v>242</v>
      </c>
      <c r="I273" s="13" t="s">
        <v>249</v>
      </c>
      <c r="J273" s="60" t="s">
        <v>570</v>
      </c>
      <c r="K273" s="16" t="s">
        <v>1131</v>
      </c>
      <c r="L273" s="13">
        <v>43.7</v>
      </c>
      <c r="M273" s="13">
        <v>43.7</v>
      </c>
      <c r="N273" s="196">
        <v>7</v>
      </c>
      <c r="P273" s="13" t="s">
        <v>268</v>
      </c>
      <c r="Q273" s="13" t="s">
        <v>269</v>
      </c>
      <c r="R273" s="13" t="s">
        <v>280</v>
      </c>
      <c r="S273" s="15" t="s">
        <v>520</v>
      </c>
      <c r="T273" s="18">
        <v>0</v>
      </c>
      <c r="U273" s="18"/>
      <c r="V273" s="18"/>
      <c r="W273" s="18">
        <f t="shared" si="6"/>
        <v>0</v>
      </c>
      <c r="X273" s="18"/>
      <c r="Y273" s="18"/>
      <c r="Z273" s="21"/>
    </row>
    <row r="274" spans="3:26">
      <c r="C274" s="48" t="s">
        <v>1222</v>
      </c>
      <c r="D274" s="48" t="s">
        <v>1222</v>
      </c>
      <c r="E274" s="18" t="s">
        <v>1217</v>
      </c>
      <c r="F274" s="499" t="s">
        <v>387</v>
      </c>
      <c r="G274" s="282"/>
      <c r="H274" s="519" t="s">
        <v>242</v>
      </c>
      <c r="I274" s="13" t="s">
        <v>249</v>
      </c>
      <c r="J274" s="60" t="s">
        <v>1636</v>
      </c>
      <c r="K274" s="16" t="s">
        <v>1132</v>
      </c>
      <c r="L274" s="13">
        <v>58.7</v>
      </c>
      <c r="M274" s="13">
        <v>58.7</v>
      </c>
      <c r="N274" s="196">
        <v>10</v>
      </c>
      <c r="P274" s="13" t="s">
        <v>268</v>
      </c>
      <c r="Q274" s="13" t="s">
        <v>269</v>
      </c>
      <c r="R274" s="13" t="s">
        <v>280</v>
      </c>
      <c r="S274" s="15" t="s">
        <v>520</v>
      </c>
      <c r="T274" s="18">
        <v>0</v>
      </c>
      <c r="U274" s="18"/>
      <c r="V274" s="18"/>
      <c r="W274" s="18">
        <f t="shared" si="6"/>
        <v>0</v>
      </c>
      <c r="X274" s="18"/>
      <c r="Y274" s="18"/>
      <c r="Z274" s="21"/>
    </row>
    <row r="275" spans="3:26">
      <c r="C275" s="48" t="s">
        <v>1222</v>
      </c>
      <c r="D275" s="48" t="s">
        <v>1222</v>
      </c>
      <c r="E275" s="18" t="s">
        <v>1217</v>
      </c>
      <c r="F275" s="499" t="s">
        <v>387</v>
      </c>
      <c r="G275" s="282"/>
      <c r="H275" s="519" t="s">
        <v>242</v>
      </c>
      <c r="I275" s="13" t="s">
        <v>249</v>
      </c>
      <c r="J275" s="60" t="s">
        <v>1637</v>
      </c>
      <c r="K275" s="16" t="s">
        <v>1133</v>
      </c>
      <c r="L275" s="13">
        <v>58.7</v>
      </c>
      <c r="M275" s="13">
        <v>58.7</v>
      </c>
      <c r="N275" s="196">
        <v>10</v>
      </c>
      <c r="P275" s="13" t="s">
        <v>268</v>
      </c>
      <c r="Q275" s="13" t="s">
        <v>269</v>
      </c>
      <c r="R275" s="13" t="s">
        <v>280</v>
      </c>
      <c r="S275" s="15" t="s">
        <v>520</v>
      </c>
      <c r="T275" s="18">
        <v>0</v>
      </c>
      <c r="U275" s="18"/>
      <c r="V275" s="18"/>
      <c r="W275" s="18">
        <f t="shared" si="6"/>
        <v>0</v>
      </c>
      <c r="X275" s="18"/>
      <c r="Y275" s="18"/>
      <c r="Z275" s="21"/>
    </row>
    <row r="276" spans="3:26">
      <c r="C276" s="48" t="s">
        <v>1222</v>
      </c>
      <c r="D276" s="48" t="s">
        <v>1222</v>
      </c>
      <c r="E276" s="18" t="s">
        <v>1217</v>
      </c>
      <c r="F276" s="499" t="s">
        <v>387</v>
      </c>
      <c r="G276" s="282"/>
      <c r="H276" s="519" t="s">
        <v>242</v>
      </c>
      <c r="I276" s="13" t="s">
        <v>192</v>
      </c>
      <c r="J276" s="503" t="s">
        <v>368</v>
      </c>
      <c r="K276" s="507"/>
      <c r="L276" s="507">
        <v>10.14</v>
      </c>
      <c r="M276" s="507">
        <v>10.14</v>
      </c>
      <c r="N276" s="505"/>
      <c r="O276" s="505"/>
      <c r="P276" s="13" t="s">
        <v>572</v>
      </c>
      <c r="Q276" s="13" t="s">
        <v>572</v>
      </c>
      <c r="R276" s="13" t="s">
        <v>573</v>
      </c>
      <c r="S276" s="18" t="s">
        <v>100</v>
      </c>
      <c r="T276" s="18">
        <v>0</v>
      </c>
      <c r="U276" s="18"/>
      <c r="V276" s="18"/>
      <c r="W276" s="18">
        <f t="shared" si="6"/>
        <v>0</v>
      </c>
      <c r="X276" s="18"/>
      <c r="Y276" s="18"/>
      <c r="Z276" s="21"/>
    </row>
    <row r="277" spans="3:26">
      <c r="C277" s="48" t="s">
        <v>1222</v>
      </c>
      <c r="D277" s="48" t="s">
        <v>1222</v>
      </c>
      <c r="E277" s="18" t="s">
        <v>1217</v>
      </c>
      <c r="F277" s="499" t="s">
        <v>387</v>
      </c>
      <c r="G277" s="282"/>
      <c r="H277" s="519" t="s">
        <v>242</v>
      </c>
      <c r="I277" s="13" t="s">
        <v>192</v>
      </c>
      <c r="J277" s="503" t="s">
        <v>406</v>
      </c>
      <c r="K277" s="507"/>
      <c r="L277" s="507">
        <v>2.5499999999999998</v>
      </c>
      <c r="M277" s="507">
        <v>2.5499999999999998</v>
      </c>
      <c r="N277" s="505"/>
      <c r="O277" s="505"/>
      <c r="P277" s="13" t="s">
        <v>572</v>
      </c>
      <c r="Q277" s="13" t="s">
        <v>572</v>
      </c>
      <c r="R277" s="13" t="s">
        <v>573</v>
      </c>
      <c r="S277" s="18" t="s">
        <v>100</v>
      </c>
      <c r="T277" s="18">
        <v>0</v>
      </c>
      <c r="U277" s="18"/>
      <c r="V277" s="18"/>
      <c r="W277" s="18">
        <f t="shared" si="6"/>
        <v>0</v>
      </c>
      <c r="X277" s="18"/>
      <c r="Y277" s="18"/>
      <c r="Z277" s="21"/>
    </row>
    <row r="278" spans="3:26">
      <c r="C278" s="48" t="s">
        <v>1222</v>
      </c>
      <c r="D278" s="48" t="s">
        <v>1222</v>
      </c>
      <c r="E278" s="18" t="s">
        <v>1217</v>
      </c>
      <c r="F278" s="499" t="s">
        <v>387</v>
      </c>
      <c r="G278" s="282"/>
      <c r="H278" s="519" t="s">
        <v>242</v>
      </c>
      <c r="I278" s="13" t="s">
        <v>192</v>
      </c>
      <c r="J278" s="503" t="s">
        <v>367</v>
      </c>
      <c r="K278" s="507"/>
      <c r="L278" s="507">
        <v>9.0299999999999994</v>
      </c>
      <c r="M278" s="507">
        <v>9.0299999999999994</v>
      </c>
      <c r="N278" s="505"/>
      <c r="O278" s="505"/>
      <c r="P278" s="13" t="s">
        <v>572</v>
      </c>
      <c r="Q278" s="13" t="s">
        <v>572</v>
      </c>
      <c r="R278" s="13" t="s">
        <v>573</v>
      </c>
      <c r="S278" s="18" t="s">
        <v>100</v>
      </c>
      <c r="T278" s="18">
        <v>0</v>
      </c>
      <c r="U278" s="18"/>
      <c r="V278" s="18"/>
      <c r="W278" s="18">
        <f t="shared" si="6"/>
        <v>0</v>
      </c>
      <c r="X278" s="18"/>
      <c r="Y278" s="18"/>
      <c r="Z278" s="21"/>
    </row>
    <row r="279" spans="3:26">
      <c r="C279" s="48" t="s">
        <v>1222</v>
      </c>
      <c r="D279" s="48" t="s">
        <v>1222</v>
      </c>
      <c r="E279" s="18" t="s">
        <v>1217</v>
      </c>
      <c r="F279" s="499" t="s">
        <v>387</v>
      </c>
      <c r="G279" s="282"/>
      <c r="H279" s="519" t="s">
        <v>242</v>
      </c>
      <c r="I279" s="13" t="s">
        <v>355</v>
      </c>
      <c r="J279" s="503" t="s">
        <v>233</v>
      </c>
      <c r="K279" s="507"/>
      <c r="L279" s="507">
        <v>5.24</v>
      </c>
      <c r="M279" s="507">
        <v>5.24</v>
      </c>
      <c r="N279" s="505"/>
      <c r="O279" s="505"/>
      <c r="P279" s="13" t="s">
        <v>268</v>
      </c>
      <c r="Q279" s="13" t="s">
        <v>269</v>
      </c>
      <c r="R279" s="13" t="s">
        <v>459</v>
      </c>
      <c r="S279" s="15" t="s">
        <v>520</v>
      </c>
      <c r="T279" s="18">
        <v>0</v>
      </c>
      <c r="U279" s="18"/>
      <c r="V279" s="18"/>
      <c r="W279" s="18">
        <f t="shared" si="6"/>
        <v>0</v>
      </c>
      <c r="X279" s="18"/>
      <c r="Y279" s="18"/>
      <c r="Z279" s="21"/>
    </row>
    <row r="280" spans="3:26">
      <c r="C280" s="48" t="s">
        <v>1222</v>
      </c>
      <c r="D280" s="48" t="s">
        <v>1222</v>
      </c>
      <c r="E280" s="18" t="s">
        <v>1217</v>
      </c>
      <c r="F280" s="499" t="s">
        <v>387</v>
      </c>
      <c r="G280" s="282"/>
      <c r="H280" s="519" t="s">
        <v>242</v>
      </c>
      <c r="I280" s="13" t="s">
        <v>355</v>
      </c>
      <c r="J280" s="503" t="s">
        <v>217</v>
      </c>
      <c r="K280" s="507"/>
      <c r="L280" s="507">
        <v>7.9</v>
      </c>
      <c r="M280" s="507">
        <v>7.9</v>
      </c>
      <c r="N280" s="505"/>
      <c r="O280" s="505"/>
      <c r="P280" s="13" t="s">
        <v>268</v>
      </c>
      <c r="Q280" s="13" t="s">
        <v>269</v>
      </c>
      <c r="R280" s="13" t="s">
        <v>459</v>
      </c>
      <c r="S280" s="15" t="s">
        <v>520</v>
      </c>
      <c r="T280" s="18">
        <v>0</v>
      </c>
      <c r="U280" s="18"/>
      <c r="V280" s="18"/>
      <c r="W280" s="18">
        <f t="shared" si="6"/>
        <v>0</v>
      </c>
      <c r="X280" s="18"/>
      <c r="Y280" s="18"/>
      <c r="Z280" s="21"/>
    </row>
    <row r="281" spans="3:26">
      <c r="C281" s="48" t="s">
        <v>1222</v>
      </c>
      <c r="D281" s="48" t="s">
        <v>1222</v>
      </c>
      <c r="E281" s="18" t="s">
        <v>1217</v>
      </c>
      <c r="F281" s="499" t="s">
        <v>387</v>
      </c>
      <c r="G281" s="282"/>
      <c r="H281" s="519" t="s">
        <v>241</v>
      </c>
      <c r="I281" s="13" t="s">
        <v>249</v>
      </c>
      <c r="J281" s="60" t="s">
        <v>1909</v>
      </c>
      <c r="K281" s="16" t="s">
        <v>1134</v>
      </c>
      <c r="L281" s="163">
        <v>43.22</v>
      </c>
      <c r="M281" s="163">
        <v>44.32</v>
      </c>
      <c r="N281" s="196">
        <v>12</v>
      </c>
      <c r="P281" s="13" t="s">
        <v>268</v>
      </c>
      <c r="Q281" s="13" t="s">
        <v>269</v>
      </c>
      <c r="R281" s="13" t="s">
        <v>280</v>
      </c>
      <c r="S281" s="15" t="s">
        <v>520</v>
      </c>
      <c r="T281" s="18">
        <v>0</v>
      </c>
      <c r="U281" s="18"/>
      <c r="V281" s="18"/>
      <c r="W281" s="18">
        <f t="shared" si="6"/>
        <v>0</v>
      </c>
      <c r="X281" s="18"/>
      <c r="Y281" s="18"/>
      <c r="Z281" s="21"/>
    </row>
    <row r="282" spans="3:26">
      <c r="C282" s="48" t="s">
        <v>1222</v>
      </c>
      <c r="D282" s="48" t="s">
        <v>1222</v>
      </c>
      <c r="E282" s="18" t="s">
        <v>1217</v>
      </c>
      <c r="F282" s="499" t="s">
        <v>387</v>
      </c>
      <c r="G282" s="282"/>
      <c r="H282" s="519" t="s">
        <v>241</v>
      </c>
      <c r="I282" s="13" t="s">
        <v>249</v>
      </c>
      <c r="J282" s="60" t="s">
        <v>1910</v>
      </c>
      <c r="K282" s="16" t="s">
        <v>1135</v>
      </c>
      <c r="L282" s="163">
        <v>29.46</v>
      </c>
      <c r="M282" s="163">
        <v>29.46</v>
      </c>
      <c r="P282" s="13" t="s">
        <v>268</v>
      </c>
      <c r="S282" s="15"/>
      <c r="T282" s="18"/>
      <c r="U282" s="18"/>
      <c r="V282" s="18"/>
      <c r="W282" s="18"/>
      <c r="X282" s="18"/>
      <c r="Y282" s="18"/>
      <c r="Z282" s="21"/>
    </row>
    <row r="283" spans="3:26">
      <c r="C283" s="48" t="s">
        <v>1222</v>
      </c>
      <c r="D283" s="48" t="s">
        <v>1222</v>
      </c>
      <c r="E283" s="18" t="s">
        <v>1217</v>
      </c>
      <c r="F283" s="499" t="s">
        <v>387</v>
      </c>
      <c r="G283" s="282"/>
      <c r="H283" s="519" t="s">
        <v>241</v>
      </c>
      <c r="I283" s="13" t="s">
        <v>249</v>
      </c>
      <c r="J283" s="60" t="s">
        <v>1911</v>
      </c>
      <c r="K283" s="16" t="s">
        <v>1136</v>
      </c>
      <c r="L283" s="13">
        <v>73.78</v>
      </c>
      <c r="M283" s="13">
        <v>73.78</v>
      </c>
      <c r="N283" s="196">
        <v>12</v>
      </c>
      <c r="P283" s="13" t="s">
        <v>268</v>
      </c>
      <c r="Q283" s="13" t="s">
        <v>269</v>
      </c>
      <c r="R283" s="13" t="s">
        <v>280</v>
      </c>
      <c r="S283" s="15" t="s">
        <v>520</v>
      </c>
      <c r="T283" s="18">
        <v>0</v>
      </c>
      <c r="U283" s="18"/>
      <c r="V283" s="18"/>
      <c r="W283" s="18">
        <f t="shared" si="6"/>
        <v>0</v>
      </c>
      <c r="X283" s="18"/>
      <c r="Y283" s="18"/>
      <c r="Z283" s="21"/>
    </row>
    <row r="284" spans="3:26">
      <c r="C284" s="48" t="s">
        <v>1222</v>
      </c>
      <c r="D284" s="48" t="s">
        <v>1222</v>
      </c>
      <c r="E284" s="18" t="s">
        <v>1217</v>
      </c>
      <c r="F284" s="499" t="s">
        <v>387</v>
      </c>
      <c r="G284" s="282"/>
      <c r="H284" s="519" t="s">
        <v>241</v>
      </c>
      <c r="I284" s="13" t="s">
        <v>249</v>
      </c>
      <c r="J284" s="60" t="s">
        <v>390</v>
      </c>
      <c r="K284" s="16" t="s">
        <v>1137</v>
      </c>
      <c r="L284" s="13">
        <v>73.78</v>
      </c>
      <c r="M284" s="13">
        <v>73.78</v>
      </c>
      <c r="N284" s="196">
        <v>12</v>
      </c>
      <c r="P284" s="13" t="s">
        <v>268</v>
      </c>
      <c r="Q284" s="13" t="s">
        <v>269</v>
      </c>
      <c r="R284" s="13" t="s">
        <v>280</v>
      </c>
      <c r="S284" s="15" t="s">
        <v>520</v>
      </c>
      <c r="T284" s="18">
        <v>0</v>
      </c>
      <c r="U284" s="18"/>
      <c r="V284" s="18"/>
      <c r="W284" s="18">
        <f t="shared" si="6"/>
        <v>0</v>
      </c>
      <c r="X284" s="18"/>
      <c r="Y284" s="18"/>
      <c r="Z284" s="21"/>
    </row>
    <row r="285" spans="3:26">
      <c r="C285" s="48" t="s">
        <v>1222</v>
      </c>
      <c r="D285" s="48" t="s">
        <v>1222</v>
      </c>
      <c r="E285" s="18" t="s">
        <v>1217</v>
      </c>
      <c r="F285" s="499" t="s">
        <v>387</v>
      </c>
      <c r="G285" s="282"/>
      <c r="H285" s="519" t="s">
        <v>241</v>
      </c>
      <c r="I285" s="13" t="s">
        <v>249</v>
      </c>
      <c r="J285" s="60" t="s">
        <v>1638</v>
      </c>
      <c r="K285" s="16" t="s">
        <v>1138</v>
      </c>
      <c r="L285" s="13">
        <v>73.72</v>
      </c>
      <c r="M285" s="13">
        <v>73.72</v>
      </c>
      <c r="N285" s="196">
        <v>12</v>
      </c>
      <c r="P285" s="13" t="s">
        <v>268</v>
      </c>
      <c r="Q285" s="13" t="s">
        <v>269</v>
      </c>
      <c r="R285" s="13" t="s">
        <v>280</v>
      </c>
      <c r="S285" s="15" t="s">
        <v>520</v>
      </c>
      <c r="T285" s="18">
        <v>0</v>
      </c>
      <c r="U285" s="18"/>
      <c r="V285" s="18"/>
      <c r="W285" s="18">
        <f t="shared" si="6"/>
        <v>0</v>
      </c>
      <c r="X285" s="18"/>
      <c r="Y285" s="18"/>
      <c r="Z285" s="21"/>
    </row>
    <row r="286" spans="3:26">
      <c r="C286" s="48" t="s">
        <v>1222</v>
      </c>
      <c r="D286" s="48" t="s">
        <v>1222</v>
      </c>
      <c r="E286" s="18" t="s">
        <v>1217</v>
      </c>
      <c r="F286" s="499" t="s">
        <v>387</v>
      </c>
      <c r="G286" s="282"/>
      <c r="H286" s="519" t="s">
        <v>241</v>
      </c>
      <c r="I286" s="13" t="s">
        <v>249</v>
      </c>
      <c r="J286" s="34" t="s">
        <v>1912</v>
      </c>
      <c r="K286" s="16" t="s">
        <v>1212</v>
      </c>
      <c r="L286" s="13">
        <v>88.67</v>
      </c>
      <c r="M286" s="13">
        <v>88.67</v>
      </c>
      <c r="N286" s="196">
        <v>15</v>
      </c>
      <c r="P286" s="13" t="s">
        <v>268</v>
      </c>
      <c r="Q286" s="13" t="s">
        <v>269</v>
      </c>
      <c r="R286" s="13" t="s">
        <v>280</v>
      </c>
      <c r="S286" s="15" t="s">
        <v>520</v>
      </c>
      <c r="T286" s="18">
        <v>0</v>
      </c>
      <c r="U286" s="18"/>
      <c r="V286" s="18"/>
      <c r="W286" s="18">
        <f t="shared" si="6"/>
        <v>0</v>
      </c>
      <c r="X286" s="18"/>
      <c r="Y286" s="18"/>
      <c r="Z286" s="21"/>
    </row>
    <row r="287" spans="3:26">
      <c r="C287" s="48" t="s">
        <v>1222</v>
      </c>
      <c r="D287" s="48" t="s">
        <v>1222</v>
      </c>
      <c r="E287" s="18" t="s">
        <v>1217</v>
      </c>
      <c r="F287" s="499" t="s">
        <v>387</v>
      </c>
      <c r="G287" s="282"/>
      <c r="H287" s="519" t="s">
        <v>241</v>
      </c>
      <c r="I287" s="13" t="s">
        <v>192</v>
      </c>
      <c r="J287" s="503" t="s">
        <v>368</v>
      </c>
      <c r="K287" s="507"/>
      <c r="L287" s="507">
        <v>10.14</v>
      </c>
      <c r="M287" s="507">
        <v>10.14</v>
      </c>
      <c r="N287" s="505"/>
      <c r="O287" s="505"/>
      <c r="P287" s="13" t="s">
        <v>572</v>
      </c>
      <c r="Q287" s="13" t="s">
        <v>572</v>
      </c>
      <c r="R287" s="13" t="s">
        <v>573</v>
      </c>
      <c r="S287" s="18" t="s">
        <v>100</v>
      </c>
      <c r="T287" s="18">
        <v>0</v>
      </c>
      <c r="U287" s="18"/>
      <c r="V287" s="18"/>
      <c r="W287" s="18">
        <f t="shared" si="6"/>
        <v>0</v>
      </c>
      <c r="X287" s="18"/>
      <c r="Y287" s="18"/>
      <c r="Z287" s="21"/>
    </row>
    <row r="288" spans="3:26">
      <c r="C288" s="48" t="s">
        <v>1222</v>
      </c>
      <c r="D288" s="48" t="s">
        <v>1222</v>
      </c>
      <c r="E288" s="18" t="s">
        <v>1217</v>
      </c>
      <c r="F288" s="499" t="s">
        <v>387</v>
      </c>
      <c r="G288" s="282"/>
      <c r="H288" s="519" t="s">
        <v>241</v>
      </c>
      <c r="I288" s="13" t="s">
        <v>192</v>
      </c>
      <c r="J288" s="503" t="s">
        <v>406</v>
      </c>
      <c r="K288" s="507"/>
      <c r="L288" s="507">
        <v>2.5499999999999998</v>
      </c>
      <c r="M288" s="507">
        <v>2.5499999999999998</v>
      </c>
      <c r="N288" s="505"/>
      <c r="O288" s="505"/>
      <c r="P288" s="13" t="s">
        <v>572</v>
      </c>
      <c r="Q288" s="13" t="s">
        <v>572</v>
      </c>
      <c r="R288" s="13" t="s">
        <v>573</v>
      </c>
      <c r="S288" s="18" t="s">
        <v>100</v>
      </c>
      <c r="T288" s="18">
        <v>0</v>
      </c>
      <c r="U288" s="18"/>
      <c r="V288" s="18"/>
      <c r="W288" s="18">
        <f t="shared" si="6"/>
        <v>0</v>
      </c>
      <c r="X288" s="18"/>
      <c r="Y288" s="18"/>
      <c r="Z288" s="21"/>
    </row>
    <row r="289" spans="3:26">
      <c r="C289" s="48" t="s">
        <v>1222</v>
      </c>
      <c r="D289" s="48" t="s">
        <v>1222</v>
      </c>
      <c r="E289" s="18" t="s">
        <v>1217</v>
      </c>
      <c r="F289" s="499" t="s">
        <v>387</v>
      </c>
      <c r="G289" s="282"/>
      <c r="H289" s="519" t="s">
        <v>241</v>
      </c>
      <c r="I289" s="13" t="s">
        <v>192</v>
      </c>
      <c r="J289" s="503" t="s">
        <v>367</v>
      </c>
      <c r="K289" s="507"/>
      <c r="L289" s="507">
        <v>9.0299999999999994</v>
      </c>
      <c r="M289" s="507">
        <v>9.0299999999999994</v>
      </c>
      <c r="N289" s="505"/>
      <c r="O289" s="505"/>
      <c r="P289" s="13" t="s">
        <v>572</v>
      </c>
      <c r="Q289" s="13" t="s">
        <v>572</v>
      </c>
      <c r="R289" s="13" t="s">
        <v>573</v>
      </c>
      <c r="S289" s="18" t="s">
        <v>100</v>
      </c>
      <c r="T289" s="18">
        <v>0</v>
      </c>
      <c r="U289" s="18"/>
      <c r="V289" s="18"/>
      <c r="W289" s="18">
        <f t="shared" si="6"/>
        <v>0</v>
      </c>
      <c r="X289" s="18"/>
      <c r="Y289" s="18"/>
      <c r="Z289" s="21"/>
    </row>
    <row r="290" spans="3:26">
      <c r="C290" s="48" t="s">
        <v>1222</v>
      </c>
      <c r="D290" s="48" t="s">
        <v>1222</v>
      </c>
      <c r="E290" s="18" t="s">
        <v>1217</v>
      </c>
      <c r="F290" s="499" t="s">
        <v>387</v>
      </c>
      <c r="G290" s="282"/>
      <c r="H290" s="519" t="s">
        <v>241</v>
      </c>
      <c r="I290" s="13" t="s">
        <v>355</v>
      </c>
      <c r="J290" s="503" t="s">
        <v>233</v>
      </c>
      <c r="K290" s="507"/>
      <c r="L290" s="507">
        <v>5.24</v>
      </c>
      <c r="M290" s="507">
        <v>5.24</v>
      </c>
      <c r="N290" s="505"/>
      <c r="O290" s="505"/>
      <c r="P290" s="13" t="s">
        <v>268</v>
      </c>
      <c r="Q290" s="13" t="s">
        <v>269</v>
      </c>
      <c r="R290" s="13" t="s">
        <v>459</v>
      </c>
      <c r="S290" s="15" t="s">
        <v>520</v>
      </c>
      <c r="T290" s="18">
        <v>0</v>
      </c>
      <c r="U290" s="18"/>
      <c r="V290" s="18"/>
      <c r="W290" s="18">
        <f t="shared" ref="W290:W354" si="7">AVERAGE(T290:V290)</f>
        <v>0</v>
      </c>
      <c r="X290" s="18"/>
      <c r="Y290" s="18"/>
      <c r="Z290" s="21"/>
    </row>
    <row r="291" spans="3:26">
      <c r="C291" s="48" t="s">
        <v>1222</v>
      </c>
      <c r="D291" s="48" t="s">
        <v>1222</v>
      </c>
      <c r="E291" s="18" t="s">
        <v>1217</v>
      </c>
      <c r="F291" s="499" t="s">
        <v>387</v>
      </c>
      <c r="G291" s="282"/>
      <c r="H291" s="519" t="s">
        <v>241</v>
      </c>
      <c r="I291" s="13" t="s">
        <v>355</v>
      </c>
      <c r="J291" s="503" t="s">
        <v>217</v>
      </c>
      <c r="K291" s="507"/>
      <c r="L291" s="507">
        <v>5.4</v>
      </c>
      <c r="M291" s="507">
        <v>5.4</v>
      </c>
      <c r="N291" s="505"/>
      <c r="O291" s="505"/>
      <c r="P291" s="13" t="s">
        <v>268</v>
      </c>
      <c r="Q291" s="13" t="s">
        <v>269</v>
      </c>
      <c r="R291" s="13" t="s">
        <v>459</v>
      </c>
      <c r="S291" s="15" t="s">
        <v>520</v>
      </c>
      <c r="T291" s="18">
        <v>0</v>
      </c>
      <c r="U291" s="18"/>
      <c r="V291" s="18"/>
      <c r="W291" s="18">
        <f t="shared" ref="W291" si="8">AVERAGE(T291:V291)</f>
        <v>0</v>
      </c>
      <c r="X291" s="18"/>
      <c r="Y291" s="18"/>
      <c r="Z291" s="21"/>
    </row>
    <row r="292" spans="3:26">
      <c r="C292" s="48" t="s">
        <v>1222</v>
      </c>
      <c r="D292" s="48" t="s">
        <v>1222</v>
      </c>
      <c r="E292" s="18" t="s">
        <v>1217</v>
      </c>
      <c r="F292" s="499" t="s">
        <v>387</v>
      </c>
      <c r="G292" s="282"/>
      <c r="H292" s="519" t="s">
        <v>239</v>
      </c>
      <c r="I292" s="13" t="s">
        <v>249</v>
      </c>
      <c r="J292" s="60" t="s">
        <v>1639</v>
      </c>
      <c r="K292" s="13" t="s">
        <v>1139</v>
      </c>
      <c r="L292" s="13">
        <v>73.78</v>
      </c>
      <c r="M292" s="13">
        <v>73.78</v>
      </c>
      <c r="N292" s="196">
        <v>12</v>
      </c>
      <c r="P292" s="13" t="s">
        <v>268</v>
      </c>
      <c r="Q292" s="13" t="s">
        <v>269</v>
      </c>
      <c r="R292" s="13" t="s">
        <v>280</v>
      </c>
      <c r="S292" s="15" t="s">
        <v>520</v>
      </c>
      <c r="T292" s="18">
        <v>0</v>
      </c>
      <c r="U292" s="18"/>
      <c r="V292" s="18"/>
      <c r="W292" s="18">
        <f t="shared" si="7"/>
        <v>0</v>
      </c>
      <c r="X292" s="18"/>
      <c r="Y292" s="18"/>
      <c r="Z292" s="21"/>
    </row>
    <row r="293" spans="3:26">
      <c r="C293" s="48" t="s">
        <v>1222</v>
      </c>
      <c r="D293" s="48" t="s">
        <v>1222</v>
      </c>
      <c r="E293" s="18" t="s">
        <v>1217</v>
      </c>
      <c r="F293" s="499" t="s">
        <v>387</v>
      </c>
      <c r="G293" s="282"/>
      <c r="H293" s="519" t="s">
        <v>239</v>
      </c>
      <c r="I293" s="13" t="s">
        <v>249</v>
      </c>
      <c r="J293" s="60" t="s">
        <v>1640</v>
      </c>
      <c r="K293" s="13" t="s">
        <v>1140</v>
      </c>
      <c r="L293" s="13">
        <v>73.78</v>
      </c>
      <c r="M293" s="13">
        <v>73.78</v>
      </c>
      <c r="N293" s="196">
        <v>12</v>
      </c>
      <c r="P293" s="13" t="s">
        <v>268</v>
      </c>
      <c r="Q293" s="13" t="s">
        <v>269</v>
      </c>
      <c r="R293" s="13" t="s">
        <v>280</v>
      </c>
      <c r="S293" s="15" t="s">
        <v>520</v>
      </c>
      <c r="T293" s="18">
        <v>0</v>
      </c>
      <c r="U293" s="18"/>
      <c r="V293" s="18"/>
      <c r="W293" s="18">
        <f t="shared" si="7"/>
        <v>0</v>
      </c>
      <c r="X293" s="18"/>
      <c r="Y293" s="18"/>
      <c r="Z293" s="21"/>
    </row>
    <row r="294" spans="3:26">
      <c r="C294" s="48" t="s">
        <v>1222</v>
      </c>
      <c r="D294" s="48" t="s">
        <v>1222</v>
      </c>
      <c r="E294" s="18" t="s">
        <v>1217</v>
      </c>
      <c r="F294" s="499" t="s">
        <v>387</v>
      </c>
      <c r="G294" s="282"/>
      <c r="H294" s="519" t="s">
        <v>239</v>
      </c>
      <c r="I294" s="13" t="s">
        <v>249</v>
      </c>
      <c r="J294" s="60" t="s">
        <v>1641</v>
      </c>
      <c r="K294" s="13" t="s">
        <v>1141</v>
      </c>
      <c r="L294" s="13">
        <v>73.78</v>
      </c>
      <c r="M294" s="13">
        <v>73.78</v>
      </c>
      <c r="N294" s="196">
        <v>12</v>
      </c>
      <c r="P294" s="13" t="s">
        <v>268</v>
      </c>
      <c r="Q294" s="13" t="s">
        <v>269</v>
      </c>
      <c r="R294" s="13" t="s">
        <v>280</v>
      </c>
      <c r="S294" s="15" t="s">
        <v>520</v>
      </c>
      <c r="T294" s="18">
        <v>0</v>
      </c>
      <c r="U294" s="18"/>
      <c r="V294" s="18"/>
      <c r="W294" s="18">
        <f t="shared" si="7"/>
        <v>0</v>
      </c>
      <c r="X294" s="18"/>
      <c r="Y294" s="18"/>
      <c r="Z294" s="21"/>
    </row>
    <row r="295" spans="3:26">
      <c r="C295" s="48" t="s">
        <v>1222</v>
      </c>
      <c r="D295" s="48" t="s">
        <v>1222</v>
      </c>
      <c r="E295" s="18" t="s">
        <v>1217</v>
      </c>
      <c r="F295" s="499" t="s">
        <v>387</v>
      </c>
      <c r="G295" s="282"/>
      <c r="H295" s="519" t="s">
        <v>239</v>
      </c>
      <c r="I295" s="13" t="s">
        <v>249</v>
      </c>
      <c r="J295" s="60" t="s">
        <v>1642</v>
      </c>
      <c r="K295" s="13" t="s">
        <v>1142</v>
      </c>
      <c r="L295" s="13">
        <v>73.72</v>
      </c>
      <c r="M295" s="13">
        <v>73.72</v>
      </c>
      <c r="N295" s="196">
        <v>12</v>
      </c>
      <c r="P295" s="13" t="s">
        <v>268</v>
      </c>
      <c r="Q295" s="13" t="s">
        <v>269</v>
      </c>
      <c r="R295" s="13" t="s">
        <v>280</v>
      </c>
      <c r="S295" s="15" t="s">
        <v>520</v>
      </c>
      <c r="T295" s="18">
        <v>0</v>
      </c>
      <c r="U295" s="18"/>
      <c r="V295" s="18"/>
      <c r="W295" s="18">
        <f t="shared" si="7"/>
        <v>0</v>
      </c>
      <c r="X295" s="18"/>
      <c r="Y295" s="18"/>
      <c r="Z295" s="21"/>
    </row>
    <row r="296" spans="3:26">
      <c r="C296" s="48" t="s">
        <v>1222</v>
      </c>
      <c r="D296" s="48" t="s">
        <v>1222</v>
      </c>
      <c r="E296" s="18" t="s">
        <v>1217</v>
      </c>
      <c r="F296" s="499" t="s">
        <v>387</v>
      </c>
      <c r="G296" s="282"/>
      <c r="H296" s="519" t="s">
        <v>239</v>
      </c>
      <c r="I296" s="13" t="s">
        <v>249</v>
      </c>
      <c r="J296" s="60" t="s">
        <v>1643</v>
      </c>
      <c r="K296" s="13" t="s">
        <v>1143</v>
      </c>
      <c r="L296" s="13">
        <v>88.7</v>
      </c>
      <c r="M296" s="13">
        <v>88.7</v>
      </c>
      <c r="N296" s="196">
        <v>15</v>
      </c>
      <c r="P296" s="13" t="s">
        <v>268</v>
      </c>
      <c r="Q296" s="13" t="s">
        <v>269</v>
      </c>
      <c r="R296" s="13" t="s">
        <v>280</v>
      </c>
      <c r="S296" s="15" t="s">
        <v>520</v>
      </c>
      <c r="T296" s="18">
        <v>0</v>
      </c>
      <c r="U296" s="18"/>
      <c r="V296" s="18"/>
      <c r="W296" s="18">
        <f t="shared" si="7"/>
        <v>0</v>
      </c>
      <c r="X296" s="18"/>
      <c r="Y296" s="18"/>
      <c r="Z296" s="21"/>
    </row>
    <row r="297" spans="3:26">
      <c r="C297" s="48" t="s">
        <v>1222</v>
      </c>
      <c r="D297" s="48" t="s">
        <v>1222</v>
      </c>
      <c r="E297" s="18" t="s">
        <v>1217</v>
      </c>
      <c r="F297" s="499" t="s">
        <v>387</v>
      </c>
      <c r="G297" s="282"/>
      <c r="H297" s="519" t="s">
        <v>239</v>
      </c>
      <c r="I297" s="13" t="s">
        <v>192</v>
      </c>
      <c r="J297" s="503" t="s">
        <v>368</v>
      </c>
      <c r="K297" s="507"/>
      <c r="L297" s="507">
        <v>10.14</v>
      </c>
      <c r="M297" s="507">
        <v>10.14</v>
      </c>
      <c r="N297" s="505"/>
      <c r="O297" s="505"/>
      <c r="P297" s="13" t="s">
        <v>572</v>
      </c>
      <c r="Q297" s="13" t="s">
        <v>572</v>
      </c>
      <c r="R297" s="13" t="s">
        <v>573</v>
      </c>
      <c r="S297" s="18" t="s">
        <v>100</v>
      </c>
      <c r="T297" s="18">
        <v>0</v>
      </c>
      <c r="U297" s="18"/>
      <c r="V297" s="18"/>
      <c r="W297" s="18">
        <f t="shared" si="7"/>
        <v>0</v>
      </c>
      <c r="X297" s="18"/>
      <c r="Y297" s="18"/>
      <c r="Z297" s="21"/>
    </row>
    <row r="298" spans="3:26">
      <c r="C298" s="48" t="s">
        <v>1222</v>
      </c>
      <c r="D298" s="48" t="s">
        <v>1222</v>
      </c>
      <c r="E298" s="18" t="s">
        <v>1217</v>
      </c>
      <c r="F298" s="499" t="s">
        <v>387</v>
      </c>
      <c r="G298" s="282"/>
      <c r="H298" s="519" t="s">
        <v>239</v>
      </c>
      <c r="I298" s="13" t="s">
        <v>192</v>
      </c>
      <c r="J298" s="503" t="s">
        <v>406</v>
      </c>
      <c r="K298" s="507"/>
      <c r="L298" s="507">
        <v>2.5499999999999998</v>
      </c>
      <c r="M298" s="507">
        <v>2.5499999999999998</v>
      </c>
      <c r="N298" s="505"/>
      <c r="O298" s="505"/>
      <c r="P298" s="13" t="s">
        <v>572</v>
      </c>
      <c r="Q298" s="13" t="s">
        <v>572</v>
      </c>
      <c r="R298" s="13" t="s">
        <v>573</v>
      </c>
      <c r="S298" s="18" t="s">
        <v>100</v>
      </c>
      <c r="T298" s="18">
        <v>0</v>
      </c>
      <c r="U298" s="18"/>
      <c r="V298" s="18"/>
      <c r="W298" s="18">
        <f t="shared" si="7"/>
        <v>0</v>
      </c>
      <c r="X298" s="18"/>
      <c r="Y298" s="18"/>
      <c r="Z298" s="21"/>
    </row>
    <row r="299" spans="3:26">
      <c r="C299" s="48" t="s">
        <v>1222</v>
      </c>
      <c r="D299" s="48" t="s">
        <v>1222</v>
      </c>
      <c r="E299" s="18" t="s">
        <v>1217</v>
      </c>
      <c r="F299" s="499" t="s">
        <v>387</v>
      </c>
      <c r="G299" s="282"/>
      <c r="H299" s="519" t="s">
        <v>239</v>
      </c>
      <c r="I299" s="13" t="s">
        <v>192</v>
      </c>
      <c r="J299" s="503" t="s">
        <v>367</v>
      </c>
      <c r="K299" s="507"/>
      <c r="L299" s="507">
        <v>9.0299999999999994</v>
      </c>
      <c r="M299" s="507">
        <v>9.0299999999999994</v>
      </c>
      <c r="N299" s="505"/>
      <c r="O299" s="505"/>
      <c r="P299" s="13" t="s">
        <v>572</v>
      </c>
      <c r="Q299" s="13" t="s">
        <v>572</v>
      </c>
      <c r="R299" s="13" t="s">
        <v>573</v>
      </c>
      <c r="S299" s="18" t="s">
        <v>100</v>
      </c>
      <c r="T299" s="18">
        <v>0</v>
      </c>
      <c r="U299" s="18"/>
      <c r="V299" s="18"/>
      <c r="W299" s="18">
        <f t="shared" si="7"/>
        <v>0</v>
      </c>
      <c r="X299" s="18"/>
      <c r="Y299" s="18"/>
      <c r="Z299" s="21"/>
    </row>
    <row r="300" spans="3:26">
      <c r="C300" s="48" t="s">
        <v>1222</v>
      </c>
      <c r="D300" s="48" t="s">
        <v>1222</v>
      </c>
      <c r="E300" s="18" t="s">
        <v>1217</v>
      </c>
      <c r="F300" s="499" t="s">
        <v>387</v>
      </c>
      <c r="G300" s="282"/>
      <c r="H300" s="519" t="s">
        <v>239</v>
      </c>
      <c r="I300" s="13" t="s">
        <v>355</v>
      </c>
      <c r="J300" s="503" t="s">
        <v>233</v>
      </c>
      <c r="K300" s="507"/>
      <c r="L300" s="507">
        <v>5.24</v>
      </c>
      <c r="M300" s="507">
        <v>5.24</v>
      </c>
      <c r="N300" s="505"/>
      <c r="O300" s="505"/>
      <c r="P300" s="13" t="s">
        <v>268</v>
      </c>
      <c r="Q300" s="13" t="s">
        <v>269</v>
      </c>
      <c r="R300" s="13" t="s">
        <v>459</v>
      </c>
      <c r="S300" s="15" t="s">
        <v>520</v>
      </c>
      <c r="T300" s="18">
        <v>0</v>
      </c>
      <c r="U300" s="18"/>
      <c r="V300" s="18"/>
      <c r="W300" s="18">
        <f t="shared" si="7"/>
        <v>0</v>
      </c>
      <c r="X300" s="18"/>
      <c r="Y300" s="18"/>
      <c r="Z300" s="21"/>
    </row>
    <row r="301" spans="3:26">
      <c r="C301" s="48" t="s">
        <v>1222</v>
      </c>
      <c r="D301" s="48" t="s">
        <v>1222</v>
      </c>
      <c r="E301" s="18" t="s">
        <v>1217</v>
      </c>
      <c r="F301" s="499" t="s">
        <v>387</v>
      </c>
      <c r="G301" s="282"/>
      <c r="H301" s="519" t="s">
        <v>239</v>
      </c>
      <c r="I301" s="13" t="s">
        <v>355</v>
      </c>
      <c r="J301" s="503" t="s">
        <v>217</v>
      </c>
      <c r="K301" s="507"/>
      <c r="L301" s="507">
        <v>7.9</v>
      </c>
      <c r="M301" s="507">
        <v>7.9</v>
      </c>
      <c r="N301" s="505"/>
      <c r="O301" s="505"/>
      <c r="P301" s="13" t="s">
        <v>268</v>
      </c>
      <c r="Q301" s="13" t="s">
        <v>269</v>
      </c>
      <c r="R301" s="13" t="s">
        <v>459</v>
      </c>
      <c r="S301" s="15" t="s">
        <v>520</v>
      </c>
      <c r="T301" s="18">
        <v>0</v>
      </c>
      <c r="U301" s="18"/>
      <c r="V301" s="18"/>
      <c r="W301" s="18">
        <f t="shared" si="7"/>
        <v>0</v>
      </c>
      <c r="X301" s="18"/>
      <c r="Y301" s="18"/>
      <c r="Z301" s="21"/>
    </row>
    <row r="302" spans="3:26">
      <c r="C302" s="48" t="s">
        <v>1222</v>
      </c>
      <c r="D302" s="48" t="s">
        <v>1222</v>
      </c>
      <c r="E302" s="18" t="s">
        <v>1217</v>
      </c>
      <c r="F302" s="499" t="s">
        <v>387</v>
      </c>
      <c r="G302" s="282" t="s">
        <v>388</v>
      </c>
      <c r="H302" s="519" t="s">
        <v>234</v>
      </c>
      <c r="I302" s="13" t="s">
        <v>248</v>
      </c>
      <c r="J302" s="60" t="s">
        <v>366</v>
      </c>
      <c r="K302" s="16" t="s">
        <v>1144</v>
      </c>
      <c r="L302" s="13">
        <v>73.78</v>
      </c>
      <c r="M302" s="13">
        <v>73.78</v>
      </c>
      <c r="N302" s="196">
        <v>30</v>
      </c>
      <c r="P302" s="13" t="s">
        <v>268</v>
      </c>
      <c r="Q302" s="13" t="s">
        <v>269</v>
      </c>
      <c r="R302" s="13" t="s">
        <v>280</v>
      </c>
      <c r="S302" s="15" t="s">
        <v>520</v>
      </c>
      <c r="T302" s="18">
        <v>0</v>
      </c>
      <c r="U302" s="18"/>
      <c r="V302" s="18"/>
      <c r="W302" s="18">
        <f t="shared" si="7"/>
        <v>0</v>
      </c>
      <c r="X302" s="18"/>
      <c r="Y302" s="18"/>
      <c r="Z302" s="21"/>
    </row>
    <row r="303" spans="3:26" ht="18" customHeight="1">
      <c r="C303" s="48" t="s">
        <v>1222</v>
      </c>
      <c r="D303" s="48" t="s">
        <v>1222</v>
      </c>
      <c r="E303" s="18" t="s">
        <v>1217</v>
      </c>
      <c r="F303" s="499" t="s">
        <v>387</v>
      </c>
      <c r="G303" s="282" t="s">
        <v>388</v>
      </c>
      <c r="H303" s="519" t="s">
        <v>234</v>
      </c>
      <c r="I303" s="13" t="s">
        <v>248</v>
      </c>
      <c r="J303" s="60" t="s">
        <v>366</v>
      </c>
      <c r="K303" s="16" t="s">
        <v>1145</v>
      </c>
      <c r="L303" s="13">
        <v>73.78</v>
      </c>
      <c r="M303" s="13">
        <v>73.78</v>
      </c>
      <c r="N303" s="196">
        <v>30</v>
      </c>
      <c r="P303" s="13" t="s">
        <v>268</v>
      </c>
      <c r="Q303" s="13" t="s">
        <v>269</v>
      </c>
      <c r="R303" s="13" t="s">
        <v>280</v>
      </c>
      <c r="S303" s="15" t="s">
        <v>520</v>
      </c>
      <c r="T303" s="18">
        <v>0</v>
      </c>
      <c r="U303" s="18"/>
      <c r="V303" s="18"/>
      <c r="W303" s="18">
        <f t="shared" si="7"/>
        <v>0</v>
      </c>
      <c r="X303" s="18"/>
      <c r="Y303" s="18"/>
      <c r="Z303" s="21"/>
    </row>
    <row r="304" spans="3:26">
      <c r="C304" s="48" t="s">
        <v>1222</v>
      </c>
      <c r="D304" s="48" t="s">
        <v>1222</v>
      </c>
      <c r="E304" s="18" t="s">
        <v>1217</v>
      </c>
      <c r="F304" s="499" t="s">
        <v>387</v>
      </c>
      <c r="G304" s="282" t="s">
        <v>388</v>
      </c>
      <c r="H304" s="519" t="s">
        <v>234</v>
      </c>
      <c r="I304" s="13" t="s">
        <v>248</v>
      </c>
      <c r="J304" s="60" t="s">
        <v>366</v>
      </c>
      <c r="K304" s="16" t="s">
        <v>1146</v>
      </c>
      <c r="L304" s="13">
        <v>73.78</v>
      </c>
      <c r="M304" s="13">
        <v>73.78</v>
      </c>
      <c r="N304" s="196">
        <v>30</v>
      </c>
      <c r="P304" s="13" t="s">
        <v>268</v>
      </c>
      <c r="Q304" s="13" t="s">
        <v>269</v>
      </c>
      <c r="R304" s="13" t="s">
        <v>280</v>
      </c>
      <c r="S304" s="15" t="s">
        <v>520</v>
      </c>
      <c r="T304" s="18">
        <v>0</v>
      </c>
      <c r="U304" s="18"/>
      <c r="V304" s="18"/>
      <c r="W304" s="18">
        <f t="shared" si="7"/>
        <v>0</v>
      </c>
      <c r="X304" s="18"/>
      <c r="Y304" s="18"/>
      <c r="Z304" s="21"/>
    </row>
    <row r="305" spans="3:26">
      <c r="C305" s="48" t="s">
        <v>1222</v>
      </c>
      <c r="D305" s="48" t="s">
        <v>1222</v>
      </c>
      <c r="E305" s="18" t="s">
        <v>1217</v>
      </c>
      <c r="F305" s="499" t="s">
        <v>387</v>
      </c>
      <c r="G305" s="282" t="s">
        <v>388</v>
      </c>
      <c r="H305" s="519" t="s">
        <v>234</v>
      </c>
      <c r="I305" s="13" t="s">
        <v>248</v>
      </c>
      <c r="J305" s="60" t="s">
        <v>366</v>
      </c>
      <c r="K305" s="16" t="s">
        <v>1147</v>
      </c>
      <c r="L305" s="13">
        <v>73.72</v>
      </c>
      <c r="M305" s="13">
        <v>73.72</v>
      </c>
      <c r="N305" s="196">
        <v>30</v>
      </c>
      <c r="P305" s="13" t="s">
        <v>268</v>
      </c>
      <c r="Q305" s="13" t="s">
        <v>269</v>
      </c>
      <c r="R305" s="13" t="s">
        <v>280</v>
      </c>
      <c r="S305" s="15" t="s">
        <v>520</v>
      </c>
      <c r="T305" s="18">
        <v>0</v>
      </c>
      <c r="U305" s="18"/>
      <c r="V305" s="18"/>
      <c r="W305" s="18">
        <f t="shared" si="7"/>
        <v>0</v>
      </c>
      <c r="X305" s="18"/>
      <c r="Y305" s="18"/>
      <c r="Z305" s="21"/>
    </row>
    <row r="306" spans="3:26">
      <c r="C306" s="48" t="s">
        <v>1222</v>
      </c>
      <c r="D306" s="48" t="s">
        <v>1222</v>
      </c>
      <c r="E306" s="18" t="s">
        <v>1217</v>
      </c>
      <c r="F306" s="499" t="s">
        <v>387</v>
      </c>
      <c r="G306" s="282" t="s">
        <v>388</v>
      </c>
      <c r="H306" s="519" t="s">
        <v>234</v>
      </c>
      <c r="I306" s="13" t="s">
        <v>248</v>
      </c>
      <c r="J306" s="60" t="s">
        <v>366</v>
      </c>
      <c r="K306" s="16" t="s">
        <v>1148</v>
      </c>
      <c r="L306" s="13">
        <v>88.67</v>
      </c>
      <c r="M306" s="13">
        <v>88.67</v>
      </c>
      <c r="N306" s="196">
        <v>40</v>
      </c>
      <c r="P306" s="13" t="s">
        <v>268</v>
      </c>
      <c r="Q306" s="13" t="s">
        <v>269</v>
      </c>
      <c r="R306" s="13" t="s">
        <v>280</v>
      </c>
      <c r="S306" s="15" t="s">
        <v>520</v>
      </c>
      <c r="T306" s="18">
        <v>0</v>
      </c>
      <c r="U306" s="18"/>
      <c r="V306" s="18"/>
      <c r="W306" s="18">
        <f t="shared" si="7"/>
        <v>0</v>
      </c>
      <c r="X306" s="18"/>
      <c r="Y306" s="18"/>
      <c r="Z306" s="21"/>
    </row>
    <row r="307" spans="3:26">
      <c r="C307" s="48" t="s">
        <v>1222</v>
      </c>
      <c r="D307" s="48" t="s">
        <v>1222</v>
      </c>
      <c r="E307" s="18" t="s">
        <v>1217</v>
      </c>
      <c r="F307" s="499" t="s">
        <v>387</v>
      </c>
      <c r="G307" s="282"/>
      <c r="H307" s="519" t="s">
        <v>234</v>
      </c>
      <c r="I307" s="13" t="s">
        <v>192</v>
      </c>
      <c r="J307" s="503" t="s">
        <v>368</v>
      </c>
      <c r="K307" s="507"/>
      <c r="L307" s="520">
        <v>10.14</v>
      </c>
      <c r="M307" s="520">
        <v>10.14</v>
      </c>
      <c r="N307" s="505"/>
      <c r="O307" s="505"/>
      <c r="P307" s="13" t="s">
        <v>572</v>
      </c>
      <c r="Q307" s="13" t="s">
        <v>572</v>
      </c>
      <c r="R307" s="13" t="s">
        <v>573</v>
      </c>
      <c r="S307" s="18" t="s">
        <v>100</v>
      </c>
      <c r="T307" s="18">
        <v>0</v>
      </c>
      <c r="U307" s="18"/>
      <c r="V307" s="18"/>
      <c r="W307" s="18">
        <f t="shared" si="7"/>
        <v>0</v>
      </c>
      <c r="X307" s="18"/>
      <c r="Y307" s="18"/>
      <c r="Z307" s="21"/>
    </row>
    <row r="308" spans="3:26">
      <c r="C308" s="48" t="s">
        <v>1222</v>
      </c>
      <c r="D308" s="48" t="s">
        <v>1222</v>
      </c>
      <c r="E308" s="18" t="s">
        <v>1217</v>
      </c>
      <c r="F308" s="499" t="s">
        <v>387</v>
      </c>
      <c r="G308" s="282"/>
      <c r="H308" s="519" t="s">
        <v>234</v>
      </c>
      <c r="I308" s="13" t="s">
        <v>192</v>
      </c>
      <c r="J308" s="503" t="s">
        <v>406</v>
      </c>
      <c r="K308" s="507"/>
      <c r="L308" s="520">
        <v>2.5499999999999998</v>
      </c>
      <c r="M308" s="520">
        <v>2.5499999999999998</v>
      </c>
      <c r="N308" s="505"/>
      <c r="O308" s="505"/>
      <c r="P308" s="13" t="s">
        <v>572</v>
      </c>
      <c r="Q308" s="13" t="s">
        <v>572</v>
      </c>
      <c r="R308" s="13" t="s">
        <v>573</v>
      </c>
      <c r="S308" s="18" t="s">
        <v>100</v>
      </c>
      <c r="T308" s="18">
        <v>0</v>
      </c>
      <c r="U308" s="18"/>
      <c r="V308" s="18"/>
      <c r="W308" s="18">
        <f t="shared" si="7"/>
        <v>0</v>
      </c>
      <c r="X308" s="18"/>
      <c r="Y308" s="18"/>
      <c r="Z308" s="21"/>
    </row>
    <row r="309" spans="3:26">
      <c r="C309" s="48" t="s">
        <v>1222</v>
      </c>
      <c r="D309" s="48" t="s">
        <v>1222</v>
      </c>
      <c r="E309" s="18" t="s">
        <v>1217</v>
      </c>
      <c r="F309" s="499" t="s">
        <v>387</v>
      </c>
      <c r="G309" s="282"/>
      <c r="H309" s="519" t="s">
        <v>234</v>
      </c>
      <c r="I309" s="13" t="s">
        <v>192</v>
      </c>
      <c r="J309" s="503" t="s">
        <v>367</v>
      </c>
      <c r="K309" s="507"/>
      <c r="L309" s="520">
        <v>9.0299999999999994</v>
      </c>
      <c r="M309" s="520">
        <v>9.0299999999999994</v>
      </c>
      <c r="N309" s="505"/>
      <c r="O309" s="505"/>
      <c r="P309" s="13" t="s">
        <v>572</v>
      </c>
      <c r="Q309" s="13" t="s">
        <v>572</v>
      </c>
      <c r="R309" s="13" t="s">
        <v>573</v>
      </c>
      <c r="S309" s="18" t="s">
        <v>100</v>
      </c>
      <c r="T309" s="18">
        <v>0</v>
      </c>
      <c r="U309" s="18"/>
      <c r="V309" s="18"/>
      <c r="W309" s="18">
        <f t="shared" si="7"/>
        <v>0</v>
      </c>
      <c r="X309" s="18"/>
      <c r="Y309" s="18"/>
      <c r="Z309" s="21"/>
    </row>
    <row r="310" spans="3:26">
      <c r="C310" s="48" t="s">
        <v>1222</v>
      </c>
      <c r="D310" s="48" t="s">
        <v>1222</v>
      </c>
      <c r="E310" s="18" t="s">
        <v>1217</v>
      </c>
      <c r="F310" s="499" t="s">
        <v>387</v>
      </c>
      <c r="G310" s="282"/>
      <c r="H310" s="519" t="s">
        <v>234</v>
      </c>
      <c r="I310" s="13" t="s">
        <v>355</v>
      </c>
      <c r="J310" s="503" t="s">
        <v>233</v>
      </c>
      <c r="K310" s="507"/>
      <c r="L310" s="520">
        <v>5.24</v>
      </c>
      <c r="M310" s="520">
        <v>5.24</v>
      </c>
      <c r="N310" s="505"/>
      <c r="O310" s="505"/>
      <c r="P310" s="13" t="s">
        <v>268</v>
      </c>
      <c r="Q310" s="13" t="s">
        <v>269</v>
      </c>
      <c r="R310" s="13" t="s">
        <v>459</v>
      </c>
      <c r="S310" s="15" t="s">
        <v>520</v>
      </c>
      <c r="T310" s="18">
        <v>0</v>
      </c>
      <c r="U310" s="18"/>
      <c r="V310" s="18"/>
      <c r="W310" s="18">
        <f t="shared" si="7"/>
        <v>0</v>
      </c>
      <c r="X310" s="18"/>
      <c r="Y310" s="18"/>
      <c r="Z310" s="21"/>
    </row>
    <row r="311" spans="3:26">
      <c r="C311" s="48" t="s">
        <v>1222</v>
      </c>
      <c r="D311" s="48" t="s">
        <v>1222</v>
      </c>
      <c r="E311" s="18" t="s">
        <v>1217</v>
      </c>
      <c r="F311" s="499" t="s">
        <v>387</v>
      </c>
      <c r="G311" s="282"/>
      <c r="H311" s="519" t="s">
        <v>219</v>
      </c>
      <c r="I311" s="195" t="s">
        <v>1371</v>
      </c>
      <c r="J311" s="506" t="s">
        <v>391</v>
      </c>
      <c r="K311" s="507"/>
      <c r="L311" s="520">
        <v>22.16</v>
      </c>
      <c r="M311" s="520">
        <v>22.16</v>
      </c>
      <c r="N311" s="505"/>
      <c r="O311" s="505"/>
      <c r="P311" s="13" t="s">
        <v>268</v>
      </c>
      <c r="Q311" s="13" t="s">
        <v>269</v>
      </c>
      <c r="R311" s="13" t="s">
        <v>280</v>
      </c>
      <c r="S311" s="15" t="s">
        <v>520</v>
      </c>
      <c r="T311" s="18">
        <v>0</v>
      </c>
      <c r="U311" s="18"/>
      <c r="V311" s="18"/>
      <c r="W311" s="18">
        <f t="shared" si="7"/>
        <v>0</v>
      </c>
      <c r="X311" s="18"/>
      <c r="Y311" s="18"/>
      <c r="Z311" s="21"/>
    </row>
    <row r="312" spans="3:26">
      <c r="C312" s="48" t="s">
        <v>1222</v>
      </c>
      <c r="D312" s="48" t="s">
        <v>1222</v>
      </c>
      <c r="E312" s="18" t="s">
        <v>1217</v>
      </c>
      <c r="F312" s="499" t="s">
        <v>387</v>
      </c>
      <c r="G312" s="282"/>
      <c r="H312" s="519" t="s">
        <v>219</v>
      </c>
      <c r="I312" s="13" t="s">
        <v>249</v>
      </c>
      <c r="J312" s="75" t="s">
        <v>392</v>
      </c>
      <c r="K312" s="74"/>
      <c r="L312" s="13">
        <v>7.12</v>
      </c>
      <c r="M312" s="13">
        <v>7.12</v>
      </c>
      <c r="N312" s="94">
        <v>2</v>
      </c>
      <c r="O312" s="94"/>
      <c r="P312" s="13" t="s">
        <v>268</v>
      </c>
      <c r="Q312" s="13" t="s">
        <v>269</v>
      </c>
      <c r="R312" s="13" t="s">
        <v>280</v>
      </c>
      <c r="S312" s="15" t="s">
        <v>520</v>
      </c>
      <c r="T312" s="18">
        <v>0</v>
      </c>
      <c r="U312" s="18"/>
      <c r="V312" s="18"/>
      <c r="W312" s="18">
        <f t="shared" si="7"/>
        <v>0</v>
      </c>
      <c r="X312" s="18"/>
      <c r="Y312" s="18"/>
      <c r="Z312" s="21"/>
    </row>
    <row r="313" spans="3:26">
      <c r="C313" s="48" t="s">
        <v>1222</v>
      </c>
      <c r="D313" s="48" t="s">
        <v>1222</v>
      </c>
      <c r="E313" s="18" t="s">
        <v>1217</v>
      </c>
      <c r="F313" s="499" t="s">
        <v>387</v>
      </c>
      <c r="G313" s="282"/>
      <c r="H313" s="519" t="s">
        <v>219</v>
      </c>
      <c r="I313" s="13" t="s">
        <v>192</v>
      </c>
      <c r="J313" s="506" t="s">
        <v>521</v>
      </c>
      <c r="K313" s="507"/>
      <c r="L313" s="520">
        <v>3</v>
      </c>
      <c r="M313" s="520">
        <v>3</v>
      </c>
      <c r="N313" s="505"/>
      <c r="O313" s="505"/>
      <c r="P313" s="13" t="s">
        <v>572</v>
      </c>
      <c r="Q313" s="13" t="s">
        <v>572</v>
      </c>
      <c r="R313" s="13" t="s">
        <v>573</v>
      </c>
      <c r="S313" s="15" t="s">
        <v>100</v>
      </c>
      <c r="T313" s="18">
        <v>0</v>
      </c>
      <c r="U313" s="18"/>
      <c r="V313" s="18"/>
      <c r="W313" s="18">
        <f t="shared" si="7"/>
        <v>0</v>
      </c>
      <c r="X313" s="18"/>
      <c r="Y313" s="18"/>
      <c r="Z313" s="21"/>
    </row>
    <row r="314" spans="3:26">
      <c r="C314" s="48" t="s">
        <v>1222</v>
      </c>
      <c r="D314" s="48" t="s">
        <v>1222</v>
      </c>
      <c r="E314" s="18" t="s">
        <v>1217</v>
      </c>
      <c r="F314" s="499" t="s">
        <v>387</v>
      </c>
      <c r="G314" s="282"/>
      <c r="H314" s="519" t="s">
        <v>219</v>
      </c>
      <c r="I314" s="13" t="s">
        <v>355</v>
      </c>
      <c r="J314" s="506" t="s">
        <v>265</v>
      </c>
      <c r="K314" s="507"/>
      <c r="L314" s="520">
        <v>3.7</v>
      </c>
      <c r="M314" s="520">
        <v>3.7</v>
      </c>
      <c r="N314" s="505"/>
      <c r="O314" s="505"/>
      <c r="P314" s="13" t="s">
        <v>268</v>
      </c>
      <c r="Q314" s="13" t="s">
        <v>269</v>
      </c>
      <c r="R314" s="13" t="s">
        <v>280</v>
      </c>
      <c r="S314" s="15" t="s">
        <v>520</v>
      </c>
      <c r="T314" s="18">
        <v>0</v>
      </c>
      <c r="U314" s="18"/>
      <c r="V314" s="18"/>
      <c r="W314" s="18">
        <f t="shared" si="7"/>
        <v>0</v>
      </c>
      <c r="X314" s="18"/>
      <c r="Y314" s="18"/>
      <c r="Z314" s="21"/>
    </row>
    <row r="315" spans="3:26">
      <c r="C315" s="48" t="s">
        <v>1222</v>
      </c>
      <c r="D315" s="48" t="s">
        <v>1222</v>
      </c>
      <c r="E315" s="18" t="s">
        <v>1217</v>
      </c>
      <c r="F315" s="499" t="s">
        <v>387</v>
      </c>
      <c r="G315" s="282"/>
      <c r="H315" s="519" t="s">
        <v>219</v>
      </c>
      <c r="I315" s="195" t="s">
        <v>1371</v>
      </c>
      <c r="J315" s="506" t="s">
        <v>393</v>
      </c>
      <c r="K315" s="507"/>
      <c r="L315" s="520">
        <v>37.1</v>
      </c>
      <c r="M315" s="520">
        <v>37.1</v>
      </c>
      <c r="N315" s="505"/>
      <c r="O315" s="505"/>
      <c r="P315" s="13" t="s">
        <v>268</v>
      </c>
      <c r="Q315" s="13" t="s">
        <v>269</v>
      </c>
      <c r="R315" s="13" t="s">
        <v>280</v>
      </c>
      <c r="S315" s="15" t="s">
        <v>520</v>
      </c>
      <c r="T315" s="18">
        <v>0</v>
      </c>
      <c r="U315" s="18"/>
      <c r="V315" s="18"/>
      <c r="W315" s="18">
        <f t="shared" si="7"/>
        <v>0</v>
      </c>
      <c r="X315" s="18"/>
      <c r="Y315" s="18"/>
      <c r="Z315" s="21"/>
    </row>
    <row r="316" spans="3:26">
      <c r="C316" s="48" t="s">
        <v>1222</v>
      </c>
      <c r="D316" s="48" t="s">
        <v>1222</v>
      </c>
      <c r="E316" s="18" t="s">
        <v>1217</v>
      </c>
      <c r="F316" s="499" t="s">
        <v>387</v>
      </c>
      <c r="G316" s="282"/>
      <c r="H316" s="519" t="s">
        <v>219</v>
      </c>
      <c r="I316" s="70" t="s">
        <v>1313</v>
      </c>
      <c r="J316" s="73" t="s">
        <v>201</v>
      </c>
      <c r="K316" s="72"/>
      <c r="L316" s="520">
        <v>238.6</v>
      </c>
      <c r="M316" s="520">
        <v>238.6</v>
      </c>
      <c r="N316" s="94">
        <v>258</v>
      </c>
      <c r="O316" s="95"/>
      <c r="P316" s="13" t="s">
        <v>268</v>
      </c>
      <c r="Q316" s="13" t="s">
        <v>269</v>
      </c>
      <c r="R316" s="13" t="s">
        <v>280</v>
      </c>
      <c r="S316" s="15" t="s">
        <v>520</v>
      </c>
      <c r="T316" s="18">
        <v>0</v>
      </c>
      <c r="U316" s="18"/>
      <c r="V316" s="18"/>
      <c r="W316" s="18">
        <f t="shared" si="7"/>
        <v>0</v>
      </c>
      <c r="X316" s="18"/>
      <c r="Y316" s="18"/>
      <c r="Z316" s="21"/>
    </row>
    <row r="317" spans="3:26">
      <c r="C317" s="48" t="s">
        <v>1222</v>
      </c>
      <c r="D317" s="48" t="s">
        <v>1222</v>
      </c>
      <c r="E317" s="18" t="s">
        <v>1217</v>
      </c>
      <c r="F317" s="499" t="s">
        <v>387</v>
      </c>
      <c r="G317" s="282"/>
      <c r="H317" s="519" t="s">
        <v>219</v>
      </c>
      <c r="I317" s="13" t="s">
        <v>192</v>
      </c>
      <c r="J317" s="503" t="s">
        <v>368</v>
      </c>
      <c r="K317" s="507"/>
      <c r="L317" s="520">
        <v>10.14</v>
      </c>
      <c r="M317" s="520">
        <v>10.14</v>
      </c>
      <c r="N317" s="505"/>
      <c r="O317" s="505"/>
      <c r="P317" s="13" t="s">
        <v>572</v>
      </c>
      <c r="Q317" s="13" t="s">
        <v>572</v>
      </c>
      <c r="R317" s="13" t="s">
        <v>573</v>
      </c>
      <c r="S317" s="18" t="s">
        <v>100</v>
      </c>
      <c r="T317" s="18">
        <v>0</v>
      </c>
      <c r="U317" s="18"/>
      <c r="V317" s="18"/>
      <c r="W317" s="18">
        <f t="shared" si="7"/>
        <v>0</v>
      </c>
      <c r="X317" s="18"/>
      <c r="Y317" s="18"/>
      <c r="Z317" s="21"/>
    </row>
    <row r="318" spans="3:26">
      <c r="C318" s="48" t="s">
        <v>1222</v>
      </c>
      <c r="D318" s="48" t="s">
        <v>1222</v>
      </c>
      <c r="E318" s="18" t="s">
        <v>1217</v>
      </c>
      <c r="F318" s="499" t="s">
        <v>387</v>
      </c>
      <c r="G318" s="282"/>
      <c r="H318" s="519" t="s">
        <v>219</v>
      </c>
      <c r="I318" s="13" t="s">
        <v>192</v>
      </c>
      <c r="J318" s="503" t="s">
        <v>406</v>
      </c>
      <c r="K318" s="507"/>
      <c r="L318" s="520">
        <v>2.5499999999999998</v>
      </c>
      <c r="M318" s="520">
        <v>2.5499999999999998</v>
      </c>
      <c r="N318" s="505"/>
      <c r="O318" s="505"/>
      <c r="P318" s="13" t="s">
        <v>572</v>
      </c>
      <c r="Q318" s="13" t="s">
        <v>572</v>
      </c>
      <c r="R318" s="13" t="s">
        <v>573</v>
      </c>
      <c r="S318" s="18" t="s">
        <v>100</v>
      </c>
      <c r="T318" s="18">
        <v>0</v>
      </c>
      <c r="U318" s="18"/>
      <c r="V318" s="18"/>
      <c r="W318" s="18">
        <f t="shared" si="7"/>
        <v>0</v>
      </c>
      <c r="X318" s="18"/>
      <c r="Y318" s="18"/>
      <c r="Z318" s="21"/>
    </row>
    <row r="319" spans="3:26">
      <c r="C319" s="48" t="s">
        <v>1222</v>
      </c>
      <c r="D319" s="48" t="s">
        <v>1222</v>
      </c>
      <c r="E319" s="18" t="s">
        <v>1217</v>
      </c>
      <c r="F319" s="499" t="s">
        <v>387</v>
      </c>
      <c r="G319" s="282"/>
      <c r="H319" s="519" t="s">
        <v>219</v>
      </c>
      <c r="I319" s="13" t="s">
        <v>192</v>
      </c>
      <c r="J319" s="503" t="s">
        <v>367</v>
      </c>
      <c r="K319" s="507"/>
      <c r="L319" s="520">
        <v>9.0299999999999994</v>
      </c>
      <c r="M319" s="520">
        <v>9.0299999999999994</v>
      </c>
      <c r="N319" s="505"/>
      <c r="O319" s="505"/>
      <c r="P319" s="13" t="s">
        <v>572</v>
      </c>
      <c r="Q319" s="13" t="s">
        <v>572</v>
      </c>
      <c r="R319" s="13" t="s">
        <v>573</v>
      </c>
      <c r="S319" s="18" t="s">
        <v>100</v>
      </c>
      <c r="T319" s="18">
        <v>0</v>
      </c>
      <c r="U319" s="18"/>
      <c r="V319" s="18"/>
      <c r="W319" s="18">
        <f t="shared" si="7"/>
        <v>0</v>
      </c>
      <c r="X319" s="18"/>
      <c r="Y319" s="18"/>
      <c r="Z319" s="21"/>
    </row>
    <row r="320" spans="3:26">
      <c r="C320" s="48" t="s">
        <v>1222</v>
      </c>
      <c r="D320" s="48" t="s">
        <v>1222</v>
      </c>
      <c r="E320" s="18" t="s">
        <v>1217</v>
      </c>
      <c r="F320" s="499" t="s">
        <v>387</v>
      </c>
      <c r="G320" s="282"/>
      <c r="H320" s="519" t="s">
        <v>219</v>
      </c>
      <c r="I320" s="13" t="s">
        <v>27</v>
      </c>
      <c r="J320" s="503" t="s">
        <v>1397</v>
      </c>
      <c r="K320" s="507"/>
      <c r="L320" s="520">
        <v>5.24</v>
      </c>
      <c r="M320" s="520">
        <v>5.24</v>
      </c>
      <c r="N320" s="505"/>
      <c r="O320" s="505"/>
      <c r="P320" s="13" t="s">
        <v>572</v>
      </c>
      <c r="Q320" s="13" t="s">
        <v>572</v>
      </c>
      <c r="R320" s="13" t="s">
        <v>573</v>
      </c>
      <c r="S320" s="18" t="s">
        <v>100</v>
      </c>
      <c r="T320" s="18">
        <v>0</v>
      </c>
      <c r="U320" s="18"/>
      <c r="V320" s="18"/>
      <c r="W320" s="18">
        <f t="shared" si="7"/>
        <v>0</v>
      </c>
      <c r="X320" s="18"/>
      <c r="Y320" s="18"/>
      <c r="Z320" s="21"/>
    </row>
    <row r="321" spans="3:26">
      <c r="C321" s="48" t="s">
        <v>1222</v>
      </c>
      <c r="D321" s="48" t="s">
        <v>1222</v>
      </c>
      <c r="E321" s="18" t="s">
        <v>1217</v>
      </c>
      <c r="F321" s="499" t="s">
        <v>387</v>
      </c>
      <c r="G321" s="282"/>
      <c r="H321" s="519" t="s">
        <v>219</v>
      </c>
      <c r="I321" s="13" t="s">
        <v>249</v>
      </c>
      <c r="J321" s="76" t="s">
        <v>462</v>
      </c>
      <c r="K321" s="74"/>
      <c r="L321" s="13">
        <v>5.49</v>
      </c>
      <c r="M321" s="13">
        <v>5.49</v>
      </c>
      <c r="N321" s="94">
        <v>1</v>
      </c>
      <c r="O321" s="94"/>
      <c r="P321" s="13" t="s">
        <v>268</v>
      </c>
      <c r="Q321" s="13" t="s">
        <v>269</v>
      </c>
      <c r="R321" s="13" t="s">
        <v>280</v>
      </c>
      <c r="S321" s="15" t="s">
        <v>520</v>
      </c>
      <c r="T321" s="18">
        <v>0</v>
      </c>
      <c r="U321" s="18"/>
      <c r="V321" s="18"/>
      <c r="W321" s="18">
        <f t="shared" si="7"/>
        <v>0</v>
      </c>
      <c r="X321" s="18"/>
      <c r="Y321" s="18"/>
      <c r="Z321" s="21"/>
    </row>
    <row r="322" spans="3:26">
      <c r="C322" s="48" t="s">
        <v>1222</v>
      </c>
      <c r="D322" s="48" t="s">
        <v>1222</v>
      </c>
      <c r="E322" s="18" t="s">
        <v>1217</v>
      </c>
      <c r="F322" s="499" t="s">
        <v>387</v>
      </c>
      <c r="G322" s="282"/>
      <c r="H322" s="519" t="s">
        <v>394</v>
      </c>
      <c r="I322" s="13" t="s">
        <v>109</v>
      </c>
      <c r="J322" s="34" t="s">
        <v>220</v>
      </c>
      <c r="L322" s="13">
        <v>59.65</v>
      </c>
      <c r="M322" s="13">
        <v>59.65</v>
      </c>
      <c r="N322" s="196">
        <v>36</v>
      </c>
      <c r="P322" s="13" t="s">
        <v>268</v>
      </c>
      <c r="Q322" s="13" t="s">
        <v>269</v>
      </c>
      <c r="R322" s="13" t="s">
        <v>280</v>
      </c>
      <c r="S322" s="15" t="s">
        <v>520</v>
      </c>
      <c r="T322" s="18">
        <v>0</v>
      </c>
      <c r="U322" s="18"/>
      <c r="V322" s="18"/>
      <c r="W322" s="18">
        <f t="shared" si="7"/>
        <v>0</v>
      </c>
      <c r="X322" s="18"/>
      <c r="Y322" s="18"/>
      <c r="Z322" s="21"/>
    </row>
    <row r="323" spans="3:26">
      <c r="C323" s="48" t="s">
        <v>1222</v>
      </c>
      <c r="D323" s="48" t="s">
        <v>1222</v>
      </c>
      <c r="E323" s="18" t="s">
        <v>1217</v>
      </c>
      <c r="F323" s="499" t="s">
        <v>387</v>
      </c>
      <c r="G323" s="282"/>
      <c r="H323" s="519" t="s">
        <v>394</v>
      </c>
      <c r="I323" s="13" t="s">
        <v>109</v>
      </c>
      <c r="J323" s="34" t="s">
        <v>395</v>
      </c>
      <c r="L323" s="13">
        <v>7</v>
      </c>
      <c r="M323" s="13">
        <v>7</v>
      </c>
      <c r="N323" s="196">
        <v>0</v>
      </c>
      <c r="P323" s="13" t="s">
        <v>268</v>
      </c>
      <c r="Q323" s="13" t="s">
        <v>269</v>
      </c>
      <c r="R323" s="13" t="s">
        <v>280</v>
      </c>
      <c r="S323" s="15" t="s">
        <v>520</v>
      </c>
      <c r="T323" s="18">
        <v>0</v>
      </c>
      <c r="U323" s="18"/>
      <c r="V323" s="18"/>
      <c r="W323" s="18">
        <f t="shared" si="7"/>
        <v>0</v>
      </c>
      <c r="X323" s="18"/>
      <c r="Y323" s="18"/>
      <c r="Z323" s="21"/>
    </row>
    <row r="324" spans="3:26">
      <c r="C324" s="48" t="s">
        <v>1222</v>
      </c>
      <c r="D324" s="48" t="s">
        <v>1222</v>
      </c>
      <c r="E324" s="18" t="s">
        <v>1217</v>
      </c>
      <c r="F324" s="499" t="s">
        <v>387</v>
      </c>
      <c r="G324" s="282"/>
      <c r="H324" s="519" t="s">
        <v>394</v>
      </c>
      <c r="I324" s="13" t="s">
        <v>109</v>
      </c>
      <c r="J324" s="34" t="s">
        <v>222</v>
      </c>
      <c r="L324" s="13">
        <v>8.33</v>
      </c>
      <c r="M324" s="13">
        <v>8.33</v>
      </c>
      <c r="N324" s="196">
        <v>2</v>
      </c>
      <c r="P324" s="13" t="s">
        <v>268</v>
      </c>
      <c r="Q324" s="13" t="s">
        <v>269</v>
      </c>
      <c r="R324" s="13" t="s">
        <v>280</v>
      </c>
      <c r="S324" s="15" t="s">
        <v>520</v>
      </c>
      <c r="T324" s="18">
        <v>0</v>
      </c>
      <c r="U324" s="18"/>
      <c r="V324" s="18"/>
      <c r="W324" s="18">
        <f t="shared" si="7"/>
        <v>0</v>
      </c>
      <c r="X324" s="18"/>
      <c r="Y324" s="18"/>
      <c r="Z324" s="21"/>
    </row>
    <row r="325" spans="3:26">
      <c r="C325" s="48" t="s">
        <v>1222</v>
      </c>
      <c r="D325" s="48" t="s">
        <v>1222</v>
      </c>
      <c r="E325" s="18" t="s">
        <v>1217</v>
      </c>
      <c r="F325" s="499" t="s">
        <v>387</v>
      </c>
      <c r="G325" s="282"/>
      <c r="H325" s="519" t="s">
        <v>394</v>
      </c>
      <c r="I325" s="13" t="s">
        <v>109</v>
      </c>
      <c r="J325" s="34" t="s">
        <v>225</v>
      </c>
      <c r="L325" s="13">
        <v>13.73</v>
      </c>
      <c r="M325" s="13">
        <v>13.73</v>
      </c>
      <c r="N325" s="196">
        <v>2</v>
      </c>
      <c r="P325" s="13" t="s">
        <v>268</v>
      </c>
      <c r="Q325" s="13" t="s">
        <v>269</v>
      </c>
      <c r="R325" s="13" t="s">
        <v>280</v>
      </c>
      <c r="S325" s="15" t="s">
        <v>520</v>
      </c>
      <c r="T325" s="18">
        <v>0</v>
      </c>
      <c r="U325" s="18"/>
      <c r="V325" s="18"/>
      <c r="W325" s="18">
        <f t="shared" si="7"/>
        <v>0</v>
      </c>
      <c r="X325" s="18"/>
      <c r="Y325" s="18"/>
      <c r="Z325" s="21"/>
    </row>
    <row r="326" spans="3:26">
      <c r="C326" s="48" t="s">
        <v>1222</v>
      </c>
      <c r="D326" s="48" t="s">
        <v>1222</v>
      </c>
      <c r="E326" s="18" t="s">
        <v>1217</v>
      </c>
      <c r="F326" s="499" t="s">
        <v>387</v>
      </c>
      <c r="G326" s="282"/>
      <c r="H326" s="519" t="s">
        <v>394</v>
      </c>
      <c r="I326" s="13" t="s">
        <v>109</v>
      </c>
      <c r="J326" s="34" t="s">
        <v>223</v>
      </c>
      <c r="L326" s="13">
        <v>6.79</v>
      </c>
      <c r="M326" s="13">
        <v>6.79</v>
      </c>
      <c r="N326" s="196">
        <v>1</v>
      </c>
      <c r="P326" s="13" t="s">
        <v>268</v>
      </c>
      <c r="Q326" s="13" t="s">
        <v>269</v>
      </c>
      <c r="R326" s="13" t="s">
        <v>280</v>
      </c>
      <c r="S326" s="15" t="s">
        <v>520</v>
      </c>
      <c r="T326" s="18">
        <v>0</v>
      </c>
      <c r="U326" s="18"/>
      <c r="V326" s="18"/>
      <c r="W326" s="18">
        <f t="shared" si="7"/>
        <v>0</v>
      </c>
      <c r="X326" s="18"/>
      <c r="Y326" s="18"/>
      <c r="Z326" s="21"/>
    </row>
    <row r="327" spans="3:26">
      <c r="C327" s="48" t="s">
        <v>1222</v>
      </c>
      <c r="D327" s="48" t="s">
        <v>1222</v>
      </c>
      <c r="E327" s="18" t="s">
        <v>1217</v>
      </c>
      <c r="F327" s="499" t="s">
        <v>387</v>
      </c>
      <c r="G327" s="282"/>
      <c r="H327" s="519" t="s">
        <v>394</v>
      </c>
      <c r="I327" s="13" t="s">
        <v>109</v>
      </c>
      <c r="J327" s="34" t="s">
        <v>226</v>
      </c>
      <c r="L327" s="13">
        <v>117.46</v>
      </c>
      <c r="M327" s="13">
        <v>117.46</v>
      </c>
      <c r="N327" s="196">
        <v>0</v>
      </c>
      <c r="P327" s="13" t="s">
        <v>268</v>
      </c>
      <c r="Q327" s="13" t="s">
        <v>269</v>
      </c>
      <c r="R327" s="13" t="s">
        <v>280</v>
      </c>
      <c r="S327" s="15" t="s">
        <v>520</v>
      </c>
      <c r="T327" s="18">
        <v>0</v>
      </c>
      <c r="U327" s="18"/>
      <c r="V327" s="18"/>
      <c r="W327" s="18">
        <f t="shared" si="7"/>
        <v>0</v>
      </c>
      <c r="X327" s="18"/>
      <c r="Y327" s="18"/>
      <c r="Z327" s="21"/>
    </row>
    <row r="328" spans="3:26">
      <c r="C328" s="48" t="s">
        <v>1222</v>
      </c>
      <c r="D328" s="48" t="s">
        <v>1222</v>
      </c>
      <c r="E328" s="18" t="s">
        <v>1217</v>
      </c>
      <c r="F328" s="499" t="s">
        <v>387</v>
      </c>
      <c r="G328" s="282"/>
      <c r="H328" s="519" t="s">
        <v>394</v>
      </c>
      <c r="I328" s="13" t="s">
        <v>109</v>
      </c>
      <c r="J328" s="34" t="s">
        <v>587</v>
      </c>
      <c r="L328" s="13">
        <v>21.44</v>
      </c>
      <c r="M328" s="13">
        <v>21.44</v>
      </c>
      <c r="N328" s="196">
        <v>3</v>
      </c>
      <c r="P328" s="13" t="s">
        <v>268</v>
      </c>
      <c r="Q328" s="13" t="s">
        <v>269</v>
      </c>
      <c r="R328" s="13" t="s">
        <v>280</v>
      </c>
      <c r="S328" s="15" t="s">
        <v>520</v>
      </c>
      <c r="T328" s="18">
        <v>0</v>
      </c>
      <c r="U328" s="18"/>
      <c r="V328" s="18"/>
      <c r="W328" s="18">
        <f t="shared" si="7"/>
        <v>0</v>
      </c>
      <c r="X328" s="18"/>
      <c r="Y328" s="18"/>
      <c r="Z328" s="21"/>
    </row>
    <row r="329" spans="3:26">
      <c r="C329" s="48" t="s">
        <v>1222</v>
      </c>
      <c r="D329" s="48" t="s">
        <v>1222</v>
      </c>
      <c r="E329" s="18" t="s">
        <v>1217</v>
      </c>
      <c r="F329" s="499" t="s">
        <v>387</v>
      </c>
      <c r="G329" s="282"/>
      <c r="H329" s="519" t="s">
        <v>394</v>
      </c>
      <c r="I329" s="13" t="s">
        <v>109</v>
      </c>
      <c r="J329" s="60" t="s">
        <v>396</v>
      </c>
      <c r="L329" s="13">
        <v>21.49</v>
      </c>
      <c r="M329" s="13">
        <v>21.49</v>
      </c>
      <c r="N329" s="196">
        <v>3</v>
      </c>
      <c r="P329" s="13" t="s">
        <v>268</v>
      </c>
      <c r="Q329" s="13" t="s">
        <v>269</v>
      </c>
      <c r="R329" s="13" t="s">
        <v>280</v>
      </c>
      <c r="S329" s="15" t="s">
        <v>520</v>
      </c>
      <c r="T329" s="18">
        <v>0</v>
      </c>
      <c r="U329" s="18"/>
      <c r="V329" s="18"/>
      <c r="W329" s="18">
        <f t="shared" si="7"/>
        <v>0</v>
      </c>
      <c r="X329" s="18"/>
      <c r="Y329" s="18"/>
      <c r="Z329" s="21"/>
    </row>
    <row r="330" spans="3:26">
      <c r="C330" s="48" t="s">
        <v>1222</v>
      </c>
      <c r="D330" s="48" t="s">
        <v>1222</v>
      </c>
      <c r="E330" s="18" t="s">
        <v>1217</v>
      </c>
      <c r="F330" s="499" t="s">
        <v>387</v>
      </c>
      <c r="G330" s="282"/>
      <c r="H330" s="519" t="s">
        <v>394</v>
      </c>
      <c r="I330" s="13" t="s">
        <v>109</v>
      </c>
      <c r="J330" s="60" t="s">
        <v>397</v>
      </c>
      <c r="L330" s="13">
        <v>13.17</v>
      </c>
      <c r="M330" s="13">
        <v>13.17</v>
      </c>
      <c r="N330" s="196">
        <v>5</v>
      </c>
      <c r="P330" s="13" t="s">
        <v>268</v>
      </c>
      <c r="Q330" s="13" t="s">
        <v>269</v>
      </c>
      <c r="R330" s="13" t="s">
        <v>280</v>
      </c>
      <c r="S330" s="15" t="s">
        <v>520</v>
      </c>
      <c r="T330" s="18">
        <v>0</v>
      </c>
      <c r="U330" s="18"/>
      <c r="V330" s="18"/>
      <c r="W330" s="18">
        <f t="shared" si="7"/>
        <v>0</v>
      </c>
      <c r="X330" s="18"/>
      <c r="Y330" s="18"/>
      <c r="Z330" s="21"/>
    </row>
    <row r="331" spans="3:26">
      <c r="C331" s="48" t="s">
        <v>1222</v>
      </c>
      <c r="D331" s="48" t="s">
        <v>1222</v>
      </c>
      <c r="E331" s="18" t="s">
        <v>1217</v>
      </c>
      <c r="F331" s="499" t="s">
        <v>387</v>
      </c>
      <c r="G331" s="282"/>
      <c r="H331" s="519" t="s">
        <v>394</v>
      </c>
      <c r="I331" s="13" t="s">
        <v>109</v>
      </c>
      <c r="J331" s="60" t="s">
        <v>569</v>
      </c>
      <c r="L331" s="13">
        <v>100.66</v>
      </c>
      <c r="M331" s="13">
        <v>100.66</v>
      </c>
      <c r="N331" s="196">
        <v>61</v>
      </c>
      <c r="P331" s="13" t="s">
        <v>268</v>
      </c>
      <c r="Q331" s="13" t="s">
        <v>269</v>
      </c>
      <c r="R331" s="13" t="s">
        <v>280</v>
      </c>
      <c r="S331" s="15" t="s">
        <v>520</v>
      </c>
      <c r="T331" s="18">
        <v>0</v>
      </c>
      <c r="U331" s="18"/>
      <c r="V331" s="18"/>
      <c r="W331" s="18">
        <f t="shared" si="7"/>
        <v>0</v>
      </c>
      <c r="X331" s="18"/>
      <c r="Y331" s="18"/>
      <c r="Z331" s="21"/>
    </row>
    <row r="332" spans="3:26">
      <c r="C332" s="48" t="s">
        <v>1222</v>
      </c>
      <c r="D332" s="48" t="s">
        <v>1222</v>
      </c>
      <c r="E332" s="18" t="s">
        <v>1217</v>
      </c>
      <c r="F332" s="499" t="s">
        <v>387</v>
      </c>
      <c r="G332" s="282"/>
      <c r="H332" s="519" t="s">
        <v>394</v>
      </c>
      <c r="I332" s="13" t="s">
        <v>109</v>
      </c>
      <c r="J332" s="60" t="s">
        <v>228</v>
      </c>
      <c r="L332" s="13">
        <v>14.12</v>
      </c>
      <c r="M332" s="13">
        <v>14.12</v>
      </c>
      <c r="N332" s="196">
        <v>5</v>
      </c>
      <c r="P332" s="13" t="s">
        <v>268</v>
      </c>
      <c r="Q332" s="13" t="s">
        <v>269</v>
      </c>
      <c r="R332" s="13" t="s">
        <v>280</v>
      </c>
      <c r="S332" s="15" t="s">
        <v>520</v>
      </c>
      <c r="T332" s="18">
        <v>0</v>
      </c>
      <c r="U332" s="18"/>
      <c r="V332" s="18"/>
      <c r="W332" s="18">
        <f t="shared" si="7"/>
        <v>0</v>
      </c>
      <c r="X332" s="18"/>
      <c r="Y332" s="18"/>
      <c r="Z332" s="21"/>
    </row>
    <row r="333" spans="3:26">
      <c r="C333" s="48" t="s">
        <v>1222</v>
      </c>
      <c r="D333" s="48" t="s">
        <v>1222</v>
      </c>
      <c r="E333" s="18" t="s">
        <v>1217</v>
      </c>
      <c r="F333" s="499" t="s">
        <v>387</v>
      </c>
      <c r="G333" s="282"/>
      <c r="H333" s="519" t="s">
        <v>394</v>
      </c>
      <c r="I333" s="13" t="s">
        <v>109</v>
      </c>
      <c r="J333" s="60" t="s">
        <v>229</v>
      </c>
      <c r="L333" s="13">
        <v>14.12</v>
      </c>
      <c r="M333" s="13">
        <v>14.12</v>
      </c>
      <c r="N333" s="196">
        <v>5</v>
      </c>
      <c r="P333" s="13" t="s">
        <v>268</v>
      </c>
      <c r="Q333" s="13" t="s">
        <v>269</v>
      </c>
      <c r="R333" s="13" t="s">
        <v>280</v>
      </c>
      <c r="S333" s="15" t="s">
        <v>520</v>
      </c>
      <c r="T333" s="18">
        <v>0</v>
      </c>
      <c r="U333" s="18"/>
      <c r="V333" s="18"/>
      <c r="W333" s="18">
        <f t="shared" si="7"/>
        <v>0</v>
      </c>
      <c r="X333" s="18"/>
      <c r="Y333" s="18"/>
      <c r="Z333" s="21"/>
    </row>
    <row r="334" spans="3:26">
      <c r="C334" s="48" t="s">
        <v>1222</v>
      </c>
      <c r="D334" s="48" t="s">
        <v>1222</v>
      </c>
      <c r="E334" s="18" t="s">
        <v>1217</v>
      </c>
      <c r="F334" s="499" t="s">
        <v>387</v>
      </c>
      <c r="G334" s="282"/>
      <c r="H334" s="519" t="s">
        <v>394</v>
      </c>
      <c r="I334" s="13" t="s">
        <v>192</v>
      </c>
      <c r="J334" s="503" t="s">
        <v>368</v>
      </c>
      <c r="K334" s="507"/>
      <c r="L334" s="507">
        <v>10.14</v>
      </c>
      <c r="M334" s="521">
        <v>10.14</v>
      </c>
      <c r="N334" s="505"/>
      <c r="O334" s="505"/>
      <c r="P334" s="13" t="s">
        <v>572</v>
      </c>
      <c r="Q334" s="13" t="s">
        <v>572</v>
      </c>
      <c r="R334" s="13" t="s">
        <v>573</v>
      </c>
      <c r="S334" s="18" t="s">
        <v>100</v>
      </c>
      <c r="T334" s="18">
        <v>0</v>
      </c>
      <c r="U334" s="18"/>
      <c r="V334" s="18"/>
      <c r="W334" s="18">
        <f t="shared" si="7"/>
        <v>0</v>
      </c>
      <c r="X334" s="18"/>
      <c r="Y334" s="18"/>
      <c r="Z334" s="21"/>
    </row>
    <row r="335" spans="3:26">
      <c r="C335" s="48" t="s">
        <v>1222</v>
      </c>
      <c r="D335" s="48" t="s">
        <v>1222</v>
      </c>
      <c r="E335" s="18" t="s">
        <v>1217</v>
      </c>
      <c r="F335" s="499" t="s">
        <v>387</v>
      </c>
      <c r="G335" s="282"/>
      <c r="H335" s="519" t="s">
        <v>394</v>
      </c>
      <c r="I335" s="13" t="s">
        <v>192</v>
      </c>
      <c r="J335" s="503" t="s">
        <v>406</v>
      </c>
      <c r="K335" s="507"/>
      <c r="L335" s="507">
        <v>2.5499999999999998</v>
      </c>
      <c r="M335" s="521">
        <v>2.5499999999999998</v>
      </c>
      <c r="N335" s="505"/>
      <c r="O335" s="505"/>
      <c r="P335" s="13" t="s">
        <v>572</v>
      </c>
      <c r="Q335" s="13" t="s">
        <v>572</v>
      </c>
      <c r="R335" s="13" t="s">
        <v>573</v>
      </c>
      <c r="S335" s="18" t="s">
        <v>100</v>
      </c>
      <c r="T335" s="18">
        <v>0</v>
      </c>
      <c r="U335" s="18"/>
      <c r="V335" s="18"/>
      <c r="W335" s="18">
        <f t="shared" si="7"/>
        <v>0</v>
      </c>
      <c r="X335" s="18"/>
      <c r="Y335" s="18"/>
      <c r="Z335" s="21"/>
    </row>
    <row r="336" spans="3:26">
      <c r="C336" s="48" t="s">
        <v>1222</v>
      </c>
      <c r="D336" s="48" t="s">
        <v>1222</v>
      </c>
      <c r="E336" s="18" t="s">
        <v>1217</v>
      </c>
      <c r="F336" s="499" t="s">
        <v>387</v>
      </c>
      <c r="G336" s="282"/>
      <c r="H336" s="519" t="s">
        <v>394</v>
      </c>
      <c r="I336" s="13" t="s">
        <v>192</v>
      </c>
      <c r="J336" s="503" t="s">
        <v>367</v>
      </c>
      <c r="K336" s="507"/>
      <c r="L336" s="507">
        <v>9.0299999999999994</v>
      </c>
      <c r="M336" s="521">
        <v>9.0299999999999994</v>
      </c>
      <c r="N336" s="505"/>
      <c r="O336" s="505"/>
      <c r="P336" s="13" t="s">
        <v>572</v>
      </c>
      <c r="Q336" s="13" t="s">
        <v>572</v>
      </c>
      <c r="R336" s="13" t="s">
        <v>573</v>
      </c>
      <c r="S336" s="18" t="s">
        <v>100</v>
      </c>
      <c r="T336" s="18">
        <v>0</v>
      </c>
      <c r="U336" s="18"/>
      <c r="V336" s="18"/>
      <c r="W336" s="18">
        <f t="shared" si="7"/>
        <v>0</v>
      </c>
      <c r="X336" s="18"/>
      <c r="Y336" s="18"/>
      <c r="Z336" s="21"/>
    </row>
    <row r="337" spans="1:26">
      <c r="C337" s="48" t="s">
        <v>1222</v>
      </c>
      <c r="D337" s="48" t="s">
        <v>1222</v>
      </c>
      <c r="E337" s="18" t="s">
        <v>1217</v>
      </c>
      <c r="F337" s="499" t="s">
        <v>387</v>
      </c>
      <c r="G337" s="282"/>
      <c r="H337" s="519" t="s">
        <v>394</v>
      </c>
      <c r="I337" s="13" t="s">
        <v>27</v>
      </c>
      <c r="J337" s="503" t="s">
        <v>1397</v>
      </c>
      <c r="K337" s="507"/>
      <c r="L337" s="507">
        <v>5.24</v>
      </c>
      <c r="M337" s="521">
        <v>5.24</v>
      </c>
      <c r="N337" s="505"/>
      <c r="O337" s="505"/>
      <c r="P337" s="13" t="s">
        <v>572</v>
      </c>
      <c r="Q337" s="13" t="s">
        <v>572</v>
      </c>
      <c r="R337" s="13" t="s">
        <v>573</v>
      </c>
      <c r="S337" s="18" t="s">
        <v>100</v>
      </c>
      <c r="T337" s="18">
        <v>0</v>
      </c>
      <c r="U337" s="18"/>
      <c r="V337" s="18"/>
      <c r="W337" s="18">
        <f t="shared" si="7"/>
        <v>0</v>
      </c>
      <c r="X337" s="18"/>
      <c r="Y337" s="18"/>
      <c r="Z337" s="21"/>
    </row>
    <row r="338" spans="1:26">
      <c r="A338">
        <f>SUM(L269:L338)</f>
        <v>3066.6499999999996</v>
      </c>
      <c r="C338" s="48" t="s">
        <v>1222</v>
      </c>
      <c r="D338" s="48" t="s">
        <v>1222</v>
      </c>
      <c r="E338" s="18" t="s">
        <v>1217</v>
      </c>
      <c r="F338" s="499" t="s">
        <v>387</v>
      </c>
      <c r="G338" s="282"/>
      <c r="H338" s="510" t="s">
        <v>461</v>
      </c>
      <c r="I338" s="39" t="s">
        <v>194</v>
      </c>
      <c r="J338" s="503" t="s">
        <v>461</v>
      </c>
      <c r="K338" s="507"/>
      <c r="L338" s="507">
        <v>637.46</v>
      </c>
      <c r="M338" s="521">
        <v>637.46</v>
      </c>
      <c r="N338" s="505"/>
      <c r="O338" s="505"/>
      <c r="P338" s="13" t="s">
        <v>268</v>
      </c>
      <c r="Q338" s="13" t="s">
        <v>269</v>
      </c>
      <c r="R338" s="13" t="s">
        <v>460</v>
      </c>
      <c r="S338" s="15" t="s">
        <v>520</v>
      </c>
      <c r="T338" s="18">
        <v>0</v>
      </c>
      <c r="U338" s="18"/>
      <c r="V338" s="18"/>
      <c r="W338" s="18">
        <f t="shared" si="7"/>
        <v>0</v>
      </c>
      <c r="X338" s="18"/>
      <c r="Y338" s="18"/>
      <c r="Z338" s="21"/>
    </row>
    <row r="339" spans="1:26">
      <c r="C339" s="48" t="s">
        <v>1222</v>
      </c>
      <c r="D339" s="48" t="s">
        <v>1222</v>
      </c>
      <c r="E339" s="18" t="s">
        <v>1217</v>
      </c>
      <c r="F339" s="513" t="s">
        <v>359</v>
      </c>
      <c r="G339" s="284"/>
      <c r="H339" s="500" t="s">
        <v>536</v>
      </c>
      <c r="I339" s="39" t="s">
        <v>194</v>
      </c>
      <c r="J339" s="502" t="s">
        <v>221</v>
      </c>
      <c r="K339" s="507"/>
      <c r="L339" s="507">
        <v>27.2</v>
      </c>
      <c r="M339" s="507">
        <v>27.2</v>
      </c>
      <c r="N339" s="505"/>
      <c r="O339" s="505"/>
      <c r="P339" s="13" t="s">
        <v>268</v>
      </c>
      <c r="Q339" s="13" t="s">
        <v>269</v>
      </c>
      <c r="R339" s="13" t="s">
        <v>100</v>
      </c>
      <c r="S339" s="18" t="s">
        <v>100</v>
      </c>
      <c r="T339" s="18">
        <v>0</v>
      </c>
      <c r="U339" s="18"/>
      <c r="V339" s="18"/>
      <c r="W339" s="18">
        <f t="shared" si="7"/>
        <v>0</v>
      </c>
      <c r="X339" s="18"/>
      <c r="Y339" s="18"/>
      <c r="Z339" s="21" t="e">
        <f>SUM(#REF!)</f>
        <v>#REF!</v>
      </c>
    </row>
    <row r="340" spans="1:26">
      <c r="B340" s="2"/>
      <c r="C340" s="48" t="s">
        <v>1222</v>
      </c>
      <c r="D340" s="48" t="s">
        <v>1222</v>
      </c>
      <c r="E340" s="18" t="s">
        <v>1217</v>
      </c>
      <c r="F340" s="513" t="s">
        <v>359</v>
      </c>
      <c r="G340" s="284"/>
      <c r="H340" s="500" t="s">
        <v>536</v>
      </c>
      <c r="I340" s="13" t="s">
        <v>249</v>
      </c>
      <c r="J340" s="34" t="s">
        <v>1644</v>
      </c>
      <c r="K340" s="13" t="s">
        <v>1202</v>
      </c>
      <c r="L340" s="13">
        <v>27.2</v>
      </c>
      <c r="M340" s="13">
        <v>27.2</v>
      </c>
      <c r="N340" s="196">
        <v>5</v>
      </c>
      <c r="P340" s="13" t="s">
        <v>268</v>
      </c>
      <c r="Q340" s="13" t="s">
        <v>269</v>
      </c>
      <c r="R340" s="13" t="s">
        <v>100</v>
      </c>
      <c r="S340" s="18" t="s">
        <v>100</v>
      </c>
      <c r="T340" s="18">
        <v>0</v>
      </c>
      <c r="U340" s="18"/>
      <c r="V340" s="18"/>
      <c r="W340" s="18">
        <f t="shared" si="7"/>
        <v>0</v>
      </c>
      <c r="X340" s="18"/>
      <c r="Y340" s="18"/>
      <c r="Z340" s="21"/>
    </row>
    <row r="341" spans="1:26">
      <c r="C341" s="48" t="s">
        <v>1222</v>
      </c>
      <c r="D341" s="48" t="s">
        <v>1222</v>
      </c>
      <c r="E341" s="18" t="s">
        <v>1217</v>
      </c>
      <c r="F341" s="513" t="s">
        <v>359</v>
      </c>
      <c r="G341" s="284"/>
      <c r="H341" s="500" t="s">
        <v>536</v>
      </c>
      <c r="I341" s="13" t="s">
        <v>249</v>
      </c>
      <c r="J341" s="34" t="s">
        <v>1523</v>
      </c>
      <c r="K341" s="13" t="s">
        <v>1203</v>
      </c>
      <c r="L341" s="13">
        <v>17.37</v>
      </c>
      <c r="M341" s="13">
        <v>17.37</v>
      </c>
      <c r="N341" s="196">
        <v>3</v>
      </c>
      <c r="P341" s="13" t="s">
        <v>268</v>
      </c>
      <c r="Q341" s="13" t="s">
        <v>269</v>
      </c>
      <c r="R341" s="13" t="s">
        <v>100</v>
      </c>
      <c r="S341" s="18" t="s">
        <v>100</v>
      </c>
      <c r="T341" s="18">
        <v>0</v>
      </c>
      <c r="U341" s="18"/>
      <c r="V341" s="18"/>
      <c r="W341" s="18">
        <f t="shared" si="7"/>
        <v>0</v>
      </c>
      <c r="X341" s="18"/>
      <c r="Y341" s="18"/>
      <c r="Z341" s="21"/>
    </row>
    <row r="342" spans="1:26">
      <c r="C342" s="48" t="s">
        <v>1222</v>
      </c>
      <c r="D342" s="48" t="s">
        <v>1222</v>
      </c>
      <c r="E342" s="18" t="s">
        <v>1217</v>
      </c>
      <c r="F342" s="513" t="s">
        <v>359</v>
      </c>
      <c r="G342" s="284"/>
      <c r="H342" s="500" t="s">
        <v>536</v>
      </c>
      <c r="I342" s="13" t="s">
        <v>249</v>
      </c>
      <c r="J342" s="34" t="s">
        <v>1524</v>
      </c>
      <c r="K342" s="13" t="s">
        <v>1204</v>
      </c>
      <c r="L342" s="13">
        <v>17.37</v>
      </c>
      <c r="M342" s="13">
        <v>17.37</v>
      </c>
      <c r="N342" s="196">
        <v>3</v>
      </c>
      <c r="P342" s="13" t="s">
        <v>268</v>
      </c>
      <c r="Q342" s="13" t="s">
        <v>269</v>
      </c>
      <c r="R342" s="13" t="s">
        <v>100</v>
      </c>
      <c r="S342" s="18" t="s">
        <v>100</v>
      </c>
      <c r="T342" s="18">
        <v>0</v>
      </c>
      <c r="U342" s="18"/>
      <c r="V342" s="18"/>
      <c r="W342" s="18">
        <f t="shared" si="7"/>
        <v>0</v>
      </c>
      <c r="X342" s="18"/>
      <c r="Y342" s="18"/>
      <c r="Z342" s="21"/>
    </row>
    <row r="343" spans="1:26">
      <c r="C343" s="48" t="s">
        <v>1222</v>
      </c>
      <c r="D343" s="48" t="s">
        <v>1222</v>
      </c>
      <c r="E343" s="18" t="s">
        <v>1217</v>
      </c>
      <c r="F343" s="513" t="s">
        <v>359</v>
      </c>
      <c r="G343" s="284"/>
      <c r="H343" s="500" t="s">
        <v>536</v>
      </c>
      <c r="I343" s="13" t="s">
        <v>249</v>
      </c>
      <c r="J343" s="34" t="s">
        <v>1525</v>
      </c>
      <c r="K343" s="13" t="s">
        <v>1526</v>
      </c>
      <c r="L343" s="13">
        <v>20.28</v>
      </c>
      <c r="M343" s="13">
        <v>20.28</v>
      </c>
      <c r="N343" s="196">
        <v>3</v>
      </c>
      <c r="P343" s="13" t="s">
        <v>268</v>
      </c>
      <c r="Q343" s="13" t="s">
        <v>269</v>
      </c>
      <c r="R343" s="13" t="s">
        <v>100</v>
      </c>
      <c r="S343" s="18" t="s">
        <v>100</v>
      </c>
      <c r="T343" s="18">
        <v>0</v>
      </c>
      <c r="U343" s="18"/>
      <c r="V343" s="18"/>
      <c r="W343" s="18">
        <f t="shared" ref="W343" si="9">AVERAGE(T343:V343)</f>
        <v>0</v>
      </c>
      <c r="X343" s="18"/>
      <c r="Y343" s="18"/>
      <c r="Z343" s="21"/>
    </row>
    <row r="344" spans="1:26">
      <c r="C344" s="48" t="s">
        <v>1222</v>
      </c>
      <c r="D344" s="48" t="s">
        <v>1222</v>
      </c>
      <c r="E344" s="18" t="s">
        <v>1217</v>
      </c>
      <c r="F344" s="513" t="s">
        <v>359</v>
      </c>
      <c r="G344" s="284"/>
      <c r="H344" s="500" t="s">
        <v>536</v>
      </c>
      <c r="I344" s="13" t="s">
        <v>211</v>
      </c>
      <c r="J344" s="34" t="s">
        <v>357</v>
      </c>
      <c r="L344" s="13">
        <v>277.75</v>
      </c>
      <c r="M344" s="13">
        <v>277.75</v>
      </c>
      <c r="P344" s="13" t="s">
        <v>268</v>
      </c>
      <c r="Q344" s="13" t="s">
        <v>269</v>
      </c>
      <c r="R344" s="13" t="s">
        <v>100</v>
      </c>
      <c r="S344" s="18" t="s">
        <v>100</v>
      </c>
      <c r="T344" s="18">
        <v>0</v>
      </c>
      <c r="U344" s="18"/>
      <c r="V344" s="18"/>
      <c r="W344" s="18">
        <f t="shared" si="7"/>
        <v>0</v>
      </c>
      <c r="X344" s="18"/>
      <c r="Y344" s="18"/>
      <c r="Z344" s="21"/>
    </row>
    <row r="345" spans="1:26">
      <c r="C345" s="48" t="s">
        <v>1222</v>
      </c>
      <c r="D345" s="48" t="s">
        <v>1222</v>
      </c>
      <c r="E345" s="18" t="s">
        <v>1217</v>
      </c>
      <c r="F345" s="513" t="s">
        <v>359</v>
      </c>
      <c r="G345" s="284"/>
      <c r="H345" s="500" t="s">
        <v>536</v>
      </c>
      <c r="I345" s="13" t="s">
        <v>211</v>
      </c>
      <c r="J345" s="34" t="s">
        <v>358</v>
      </c>
      <c r="L345" s="13">
        <v>277.75</v>
      </c>
      <c r="M345" s="13">
        <v>277.75</v>
      </c>
      <c r="P345" s="13" t="s">
        <v>268</v>
      </c>
      <c r="Q345" s="13" t="s">
        <v>269</v>
      </c>
      <c r="R345" s="13" t="s">
        <v>100</v>
      </c>
      <c r="S345" s="18" t="s">
        <v>100</v>
      </c>
      <c r="T345" s="18">
        <v>0</v>
      </c>
      <c r="U345" s="18"/>
      <c r="V345" s="18"/>
      <c r="W345" s="18">
        <f t="shared" si="7"/>
        <v>0</v>
      </c>
      <c r="X345" s="18"/>
      <c r="Y345" s="18"/>
      <c r="Z345" s="21"/>
    </row>
    <row r="346" spans="1:26">
      <c r="C346" s="48" t="s">
        <v>1222</v>
      </c>
      <c r="D346" s="48" t="s">
        <v>1222</v>
      </c>
      <c r="E346" s="18" t="s">
        <v>1217</v>
      </c>
      <c r="F346" s="513" t="s">
        <v>359</v>
      </c>
      <c r="G346" s="284"/>
      <c r="H346" s="500" t="s">
        <v>536</v>
      </c>
      <c r="I346" s="39" t="s">
        <v>194</v>
      </c>
      <c r="J346" s="502" t="s">
        <v>194</v>
      </c>
      <c r="K346" s="507"/>
      <c r="L346" s="507">
        <v>87</v>
      </c>
      <c r="M346" s="507">
        <v>87</v>
      </c>
      <c r="N346" s="505"/>
      <c r="O346" s="505"/>
      <c r="P346" s="13" t="s">
        <v>268</v>
      </c>
      <c r="Q346" s="13" t="s">
        <v>269</v>
      </c>
      <c r="R346" s="13" t="s">
        <v>100</v>
      </c>
      <c r="S346" s="18" t="s">
        <v>100</v>
      </c>
      <c r="T346" s="18">
        <v>0</v>
      </c>
      <c r="U346" s="18"/>
      <c r="V346" s="18"/>
      <c r="W346" s="18">
        <f t="shared" si="7"/>
        <v>0</v>
      </c>
      <c r="X346" s="18"/>
      <c r="Y346" s="18"/>
      <c r="Z346" s="21"/>
    </row>
    <row r="347" spans="1:26">
      <c r="A347">
        <f>SUM(L339:L347)</f>
        <v>776.7</v>
      </c>
      <c r="C347" s="48" t="s">
        <v>1222</v>
      </c>
      <c r="D347" s="48" t="s">
        <v>1222</v>
      </c>
      <c r="E347" s="18" t="s">
        <v>1217</v>
      </c>
      <c r="F347" s="513" t="s">
        <v>359</v>
      </c>
      <c r="G347" s="284"/>
      <c r="H347" s="500" t="s">
        <v>536</v>
      </c>
      <c r="I347" s="39" t="s">
        <v>194</v>
      </c>
      <c r="J347" s="502" t="s">
        <v>254</v>
      </c>
      <c r="K347" s="507"/>
      <c r="L347" s="507">
        <v>24.78</v>
      </c>
      <c r="M347" s="507">
        <v>24.78</v>
      </c>
      <c r="N347" s="505"/>
      <c r="O347" s="505"/>
      <c r="P347" s="13" t="s">
        <v>268</v>
      </c>
      <c r="Q347" s="13" t="s">
        <v>269</v>
      </c>
      <c r="R347" s="13" t="s">
        <v>100</v>
      </c>
      <c r="S347" s="18" t="s">
        <v>100</v>
      </c>
      <c r="T347" s="18">
        <v>0</v>
      </c>
      <c r="U347" s="18"/>
      <c r="V347" s="18"/>
      <c r="W347" s="18">
        <f t="shared" si="7"/>
        <v>0</v>
      </c>
      <c r="X347" s="18"/>
      <c r="Y347" s="18"/>
      <c r="Z347" s="21"/>
    </row>
    <row r="348" spans="1:26" ht="30">
      <c r="C348" s="48" t="s">
        <v>1222</v>
      </c>
      <c r="D348" s="48" t="s">
        <v>1222</v>
      </c>
      <c r="E348" s="18" t="s">
        <v>1217</v>
      </c>
      <c r="F348" s="499" t="s">
        <v>398</v>
      </c>
      <c r="G348" s="282" t="s">
        <v>1858</v>
      </c>
      <c r="H348" s="519" t="s">
        <v>394</v>
      </c>
      <c r="I348" s="13" t="s">
        <v>596</v>
      </c>
      <c r="J348" s="60" t="s">
        <v>1645</v>
      </c>
      <c r="K348" s="16" t="s">
        <v>399</v>
      </c>
      <c r="L348" s="13">
        <v>58.87</v>
      </c>
      <c r="M348" s="13">
        <v>58.87</v>
      </c>
      <c r="N348" s="196">
        <v>20</v>
      </c>
      <c r="P348" s="13" t="s">
        <v>268</v>
      </c>
      <c r="Q348" s="13" t="s">
        <v>269</v>
      </c>
      <c r="R348" s="13" t="s">
        <v>280</v>
      </c>
      <c r="S348" s="18" t="s">
        <v>360</v>
      </c>
      <c r="T348" s="18">
        <v>0</v>
      </c>
      <c r="U348" s="18"/>
      <c r="V348" s="18"/>
      <c r="W348" s="18">
        <f t="shared" si="7"/>
        <v>0</v>
      </c>
      <c r="X348" s="18"/>
      <c r="Y348" s="18"/>
      <c r="Z348" s="21" t="e">
        <f>SUM(#REF!)</f>
        <v>#REF!</v>
      </c>
    </row>
    <row r="349" spans="1:26" ht="30">
      <c r="C349" s="48" t="s">
        <v>1222</v>
      </c>
      <c r="D349" s="48" t="s">
        <v>1222</v>
      </c>
      <c r="E349" s="18" t="s">
        <v>1217</v>
      </c>
      <c r="F349" s="499" t="s">
        <v>398</v>
      </c>
      <c r="G349" s="282" t="s">
        <v>1858</v>
      </c>
      <c r="H349" s="519" t="s">
        <v>394</v>
      </c>
      <c r="I349" s="13" t="s">
        <v>596</v>
      </c>
      <c r="J349" s="60" t="s">
        <v>1646</v>
      </c>
      <c r="K349" s="16" t="s">
        <v>400</v>
      </c>
      <c r="L349" s="13">
        <v>73.87</v>
      </c>
      <c r="M349" s="13">
        <v>73.87</v>
      </c>
      <c r="N349" s="196">
        <v>30</v>
      </c>
      <c r="P349" s="13" t="s">
        <v>268</v>
      </c>
      <c r="Q349" s="13" t="s">
        <v>269</v>
      </c>
      <c r="R349" s="13" t="s">
        <v>280</v>
      </c>
      <c r="S349" s="18" t="s">
        <v>360</v>
      </c>
      <c r="T349" s="18">
        <v>0</v>
      </c>
      <c r="U349" s="18"/>
      <c r="V349" s="18"/>
      <c r="W349" s="18">
        <f t="shared" si="7"/>
        <v>0</v>
      </c>
      <c r="X349" s="18"/>
      <c r="Y349" s="18"/>
      <c r="Z349" s="21"/>
    </row>
    <row r="350" spans="1:26" ht="30">
      <c r="C350" s="48" t="s">
        <v>1222</v>
      </c>
      <c r="D350" s="48" t="s">
        <v>1222</v>
      </c>
      <c r="E350" s="18" t="s">
        <v>1217</v>
      </c>
      <c r="F350" s="499" t="s">
        <v>398</v>
      </c>
      <c r="G350" s="282" t="s">
        <v>1858</v>
      </c>
      <c r="H350" s="519" t="s">
        <v>394</v>
      </c>
      <c r="I350" s="13" t="s">
        <v>208</v>
      </c>
      <c r="J350" s="60" t="s">
        <v>1647</v>
      </c>
      <c r="K350" s="16" t="s">
        <v>401</v>
      </c>
      <c r="L350" s="13">
        <v>9.14</v>
      </c>
      <c r="M350" s="13">
        <v>9.14</v>
      </c>
      <c r="N350" s="196">
        <v>2</v>
      </c>
      <c r="P350" s="13" t="s">
        <v>268</v>
      </c>
      <c r="Q350" s="13" t="s">
        <v>269</v>
      </c>
      <c r="R350" s="13" t="s">
        <v>280</v>
      </c>
      <c r="S350" s="18" t="s">
        <v>360</v>
      </c>
      <c r="T350" s="18">
        <v>0</v>
      </c>
      <c r="U350" s="18"/>
      <c r="V350" s="18"/>
      <c r="W350" s="18">
        <f t="shared" si="7"/>
        <v>0</v>
      </c>
      <c r="X350" s="18"/>
      <c r="Y350" s="18"/>
      <c r="Z350" s="21"/>
    </row>
    <row r="351" spans="1:26" ht="30">
      <c r="C351" s="48" t="s">
        <v>1222</v>
      </c>
      <c r="D351" s="48" t="s">
        <v>1222</v>
      </c>
      <c r="E351" s="18" t="s">
        <v>1217</v>
      </c>
      <c r="F351" s="499" t="s">
        <v>398</v>
      </c>
      <c r="G351" s="282" t="s">
        <v>1858</v>
      </c>
      <c r="H351" s="519" t="s">
        <v>394</v>
      </c>
      <c r="I351" s="13" t="s">
        <v>596</v>
      </c>
      <c r="J351" s="60" t="s">
        <v>1648</v>
      </c>
      <c r="K351" s="16" t="s">
        <v>402</v>
      </c>
      <c r="L351" s="13">
        <v>73.87</v>
      </c>
      <c r="M351" s="13">
        <v>73.87</v>
      </c>
      <c r="N351" s="196">
        <v>30</v>
      </c>
      <c r="P351" s="13" t="s">
        <v>268</v>
      </c>
      <c r="Q351" s="13" t="s">
        <v>269</v>
      </c>
      <c r="R351" s="13" t="s">
        <v>280</v>
      </c>
      <c r="S351" s="18" t="s">
        <v>360</v>
      </c>
      <c r="T351" s="18">
        <v>0</v>
      </c>
      <c r="U351" s="18"/>
      <c r="V351" s="18"/>
      <c r="W351" s="18">
        <f t="shared" si="7"/>
        <v>0</v>
      </c>
      <c r="X351" s="18"/>
      <c r="Y351" s="18"/>
      <c r="Z351" s="21"/>
    </row>
    <row r="352" spans="1:26" ht="30">
      <c r="C352" s="48" t="s">
        <v>1222</v>
      </c>
      <c r="D352" s="48" t="s">
        <v>1222</v>
      </c>
      <c r="E352" s="18" t="s">
        <v>1217</v>
      </c>
      <c r="F352" s="499" t="s">
        <v>398</v>
      </c>
      <c r="G352" s="282" t="s">
        <v>1858</v>
      </c>
      <c r="H352" s="519" t="s">
        <v>394</v>
      </c>
      <c r="I352" s="13" t="s">
        <v>596</v>
      </c>
      <c r="J352" s="60" t="s">
        <v>1649</v>
      </c>
      <c r="K352" s="16" t="s">
        <v>403</v>
      </c>
      <c r="L352" s="13">
        <v>58.75</v>
      </c>
      <c r="M352" s="13">
        <v>58.75</v>
      </c>
      <c r="N352" s="196">
        <v>20</v>
      </c>
      <c r="P352" s="13" t="s">
        <v>268</v>
      </c>
      <c r="Q352" s="13" t="s">
        <v>269</v>
      </c>
      <c r="R352" s="13" t="s">
        <v>280</v>
      </c>
      <c r="S352" s="18" t="s">
        <v>360</v>
      </c>
      <c r="T352" s="18">
        <v>0</v>
      </c>
      <c r="U352" s="18"/>
      <c r="V352" s="18"/>
      <c r="W352" s="18">
        <f t="shared" si="7"/>
        <v>0</v>
      </c>
      <c r="X352" s="18"/>
      <c r="Y352" s="18"/>
      <c r="Z352" s="21"/>
    </row>
    <row r="353" spans="2:26" ht="30">
      <c r="C353" s="48" t="s">
        <v>1222</v>
      </c>
      <c r="D353" s="48" t="s">
        <v>1222</v>
      </c>
      <c r="E353" s="18" t="s">
        <v>1217</v>
      </c>
      <c r="F353" s="499" t="s">
        <v>398</v>
      </c>
      <c r="G353" s="282" t="s">
        <v>1858</v>
      </c>
      <c r="H353" s="519" t="s">
        <v>394</v>
      </c>
      <c r="I353" s="13" t="s">
        <v>208</v>
      </c>
      <c r="J353" s="60" t="s">
        <v>1650</v>
      </c>
      <c r="K353" s="16" t="s">
        <v>404</v>
      </c>
      <c r="L353" s="13">
        <v>9.14</v>
      </c>
      <c r="M353" s="13">
        <v>9.14</v>
      </c>
      <c r="N353" s="196">
        <v>2</v>
      </c>
      <c r="P353" s="13" t="s">
        <v>268</v>
      </c>
      <c r="Q353" s="13" t="s">
        <v>269</v>
      </c>
      <c r="R353" s="13" t="s">
        <v>280</v>
      </c>
      <c r="S353" s="18" t="s">
        <v>360</v>
      </c>
      <c r="T353" s="18">
        <v>0</v>
      </c>
      <c r="U353" s="18"/>
      <c r="V353" s="18"/>
      <c r="W353" s="18">
        <f t="shared" si="7"/>
        <v>0</v>
      </c>
      <c r="X353" s="18"/>
      <c r="Y353" s="18"/>
      <c r="Z353" s="21"/>
    </row>
    <row r="354" spans="2:26" ht="30">
      <c r="C354" s="48" t="s">
        <v>1222</v>
      </c>
      <c r="D354" s="48" t="s">
        <v>1222</v>
      </c>
      <c r="E354" s="18" t="s">
        <v>1217</v>
      </c>
      <c r="F354" s="499" t="s">
        <v>398</v>
      </c>
      <c r="G354" s="282" t="s">
        <v>1858</v>
      </c>
      <c r="H354" s="519" t="s">
        <v>394</v>
      </c>
      <c r="I354" s="13" t="s">
        <v>596</v>
      </c>
      <c r="J354" s="60" t="s">
        <v>1651</v>
      </c>
      <c r="K354" s="16" t="s">
        <v>405</v>
      </c>
      <c r="L354" s="13">
        <v>73.8</v>
      </c>
      <c r="M354" s="13">
        <v>73.8</v>
      </c>
      <c r="N354" s="196">
        <v>30</v>
      </c>
      <c r="P354" s="13" t="s">
        <v>268</v>
      </c>
      <c r="Q354" s="13" t="s">
        <v>269</v>
      </c>
      <c r="R354" s="13" t="s">
        <v>280</v>
      </c>
      <c r="S354" s="18" t="s">
        <v>360</v>
      </c>
      <c r="T354" s="18">
        <v>0</v>
      </c>
      <c r="U354" s="18"/>
      <c r="V354" s="18"/>
      <c r="W354" s="18">
        <f t="shared" si="7"/>
        <v>0</v>
      </c>
      <c r="X354" s="18"/>
      <c r="Y354" s="18"/>
      <c r="Z354" s="21"/>
    </row>
    <row r="355" spans="2:26">
      <c r="C355" s="48" t="s">
        <v>1222</v>
      </c>
      <c r="D355" s="48" t="s">
        <v>1222</v>
      </c>
      <c r="E355" s="18" t="s">
        <v>1217</v>
      </c>
      <c r="F355" s="499" t="s">
        <v>398</v>
      </c>
      <c r="G355" s="282"/>
      <c r="H355" s="519" t="s">
        <v>394</v>
      </c>
      <c r="I355" s="13" t="s">
        <v>27</v>
      </c>
      <c r="J355" s="506" t="s">
        <v>1397</v>
      </c>
      <c r="K355" s="503"/>
      <c r="L355" s="507">
        <v>5.54</v>
      </c>
      <c r="M355" s="507">
        <v>5.54</v>
      </c>
      <c r="N355" s="505"/>
      <c r="O355" s="505"/>
      <c r="P355" s="13" t="s">
        <v>572</v>
      </c>
      <c r="Q355" s="13" t="s">
        <v>572</v>
      </c>
      <c r="R355" s="13" t="s">
        <v>573</v>
      </c>
      <c r="S355" s="18" t="s">
        <v>100</v>
      </c>
      <c r="T355" s="18">
        <v>0</v>
      </c>
      <c r="U355" s="18"/>
      <c r="V355" s="18"/>
      <c r="W355" s="18">
        <f t="shared" ref="W355:W419" si="10">AVERAGE(T355:V355)</f>
        <v>0</v>
      </c>
      <c r="X355" s="18"/>
      <c r="Y355" s="18"/>
      <c r="Z355" s="21"/>
    </row>
    <row r="356" spans="2:26">
      <c r="C356" s="48" t="s">
        <v>1222</v>
      </c>
      <c r="D356" s="48" t="s">
        <v>1222</v>
      </c>
      <c r="E356" s="18" t="s">
        <v>1217</v>
      </c>
      <c r="F356" s="499" t="s">
        <v>398</v>
      </c>
      <c r="G356" s="282"/>
      <c r="H356" s="519" t="s">
        <v>394</v>
      </c>
      <c r="I356" s="13" t="s">
        <v>192</v>
      </c>
      <c r="J356" s="506" t="s">
        <v>367</v>
      </c>
      <c r="K356" s="503"/>
      <c r="L356" s="507">
        <v>9.0299999999999994</v>
      </c>
      <c r="M356" s="507">
        <v>9.0299999999999994</v>
      </c>
      <c r="N356" s="505"/>
      <c r="O356" s="505"/>
      <c r="P356" s="13" t="s">
        <v>572</v>
      </c>
      <c r="Q356" s="13" t="s">
        <v>572</v>
      </c>
      <c r="R356" s="13" t="s">
        <v>573</v>
      </c>
      <c r="S356" s="18" t="s">
        <v>100</v>
      </c>
      <c r="T356" s="18">
        <v>0</v>
      </c>
      <c r="U356" s="18"/>
      <c r="V356" s="18"/>
      <c r="W356" s="18">
        <f t="shared" si="10"/>
        <v>0</v>
      </c>
      <c r="X356" s="18"/>
      <c r="Y356" s="18"/>
      <c r="Z356" s="21"/>
    </row>
    <row r="357" spans="2:26">
      <c r="C357" s="48" t="s">
        <v>1222</v>
      </c>
      <c r="D357" s="48" t="s">
        <v>1222</v>
      </c>
      <c r="E357" s="18" t="s">
        <v>1217</v>
      </c>
      <c r="F357" s="499" t="s">
        <v>398</v>
      </c>
      <c r="G357" s="282"/>
      <c r="H357" s="519" t="s">
        <v>394</v>
      </c>
      <c r="I357" s="13" t="s">
        <v>192</v>
      </c>
      <c r="J357" s="506" t="s">
        <v>368</v>
      </c>
      <c r="K357" s="503"/>
      <c r="L357" s="507">
        <v>9.66</v>
      </c>
      <c r="M357" s="507">
        <v>9.66</v>
      </c>
      <c r="N357" s="505"/>
      <c r="O357" s="505"/>
      <c r="P357" s="13" t="s">
        <v>572</v>
      </c>
      <c r="Q357" s="13" t="s">
        <v>572</v>
      </c>
      <c r="R357" s="13" t="s">
        <v>573</v>
      </c>
      <c r="S357" s="18" t="s">
        <v>100</v>
      </c>
      <c r="T357" s="18">
        <v>0</v>
      </c>
      <c r="U357" s="18"/>
      <c r="V357" s="18"/>
      <c r="W357" s="18">
        <f t="shared" si="10"/>
        <v>0</v>
      </c>
      <c r="X357" s="18"/>
      <c r="Y357" s="18"/>
      <c r="Z357" s="21"/>
    </row>
    <row r="358" spans="2:26">
      <c r="C358" s="48" t="s">
        <v>1222</v>
      </c>
      <c r="D358" s="48" t="s">
        <v>1222</v>
      </c>
      <c r="E358" s="18" t="s">
        <v>1217</v>
      </c>
      <c r="F358" s="499" t="s">
        <v>398</v>
      </c>
      <c r="G358" s="282"/>
      <c r="H358" s="519" t="s">
        <v>394</v>
      </c>
      <c r="I358" s="13" t="s">
        <v>192</v>
      </c>
      <c r="J358" s="506" t="s">
        <v>406</v>
      </c>
      <c r="K358" s="503"/>
      <c r="L358" s="507">
        <v>3.29</v>
      </c>
      <c r="M358" s="507">
        <v>3.29</v>
      </c>
      <c r="N358" s="505"/>
      <c r="O358" s="505"/>
      <c r="P358" s="13" t="s">
        <v>572</v>
      </c>
      <c r="Q358" s="13" t="s">
        <v>572</v>
      </c>
      <c r="R358" s="13" t="s">
        <v>573</v>
      </c>
      <c r="S358" s="18" t="s">
        <v>100</v>
      </c>
      <c r="T358" s="18">
        <v>0</v>
      </c>
      <c r="U358" s="18"/>
      <c r="V358" s="18"/>
      <c r="W358" s="18">
        <f t="shared" si="10"/>
        <v>0</v>
      </c>
      <c r="X358" s="18"/>
      <c r="Y358" s="18"/>
      <c r="Z358" s="21"/>
    </row>
    <row r="359" spans="2:26">
      <c r="C359" s="48" t="s">
        <v>1222</v>
      </c>
      <c r="D359" s="48" t="s">
        <v>1222</v>
      </c>
      <c r="E359" s="18" t="s">
        <v>1217</v>
      </c>
      <c r="F359" s="499" t="s">
        <v>398</v>
      </c>
      <c r="G359" s="282"/>
      <c r="H359" s="519" t="s">
        <v>394</v>
      </c>
      <c r="I359" s="13" t="s">
        <v>355</v>
      </c>
      <c r="J359" s="506" t="s">
        <v>233</v>
      </c>
      <c r="K359" s="503"/>
      <c r="L359" s="507">
        <v>4.91</v>
      </c>
      <c r="M359" s="507">
        <v>4.91</v>
      </c>
      <c r="N359" s="505"/>
      <c r="O359" s="505"/>
      <c r="P359" s="13" t="s">
        <v>268</v>
      </c>
      <c r="Q359" s="13" t="s">
        <v>269</v>
      </c>
      <c r="R359" s="13" t="s">
        <v>459</v>
      </c>
      <c r="S359" s="18" t="s">
        <v>360</v>
      </c>
      <c r="T359" s="18">
        <v>0</v>
      </c>
      <c r="U359" s="18"/>
      <c r="V359" s="18"/>
      <c r="W359" s="18">
        <f t="shared" si="10"/>
        <v>0</v>
      </c>
      <c r="X359" s="18"/>
      <c r="Y359" s="18"/>
      <c r="Z359" s="21"/>
    </row>
    <row r="360" spans="2:26">
      <c r="C360" s="48" t="s">
        <v>1222</v>
      </c>
      <c r="D360" s="48" t="s">
        <v>1222</v>
      </c>
      <c r="E360" s="18" t="s">
        <v>1217</v>
      </c>
      <c r="F360" s="499" t="s">
        <v>398</v>
      </c>
      <c r="G360" s="282"/>
      <c r="H360" s="519" t="s">
        <v>219</v>
      </c>
      <c r="I360" s="13" t="s">
        <v>249</v>
      </c>
      <c r="J360" s="34" t="s">
        <v>1126</v>
      </c>
      <c r="K360" s="16" t="s">
        <v>407</v>
      </c>
      <c r="L360" s="16">
        <v>27.56</v>
      </c>
      <c r="M360" s="16">
        <v>27.56</v>
      </c>
      <c r="N360" s="196">
        <v>6</v>
      </c>
      <c r="P360" s="13" t="s">
        <v>268</v>
      </c>
      <c r="Q360" s="13" t="s">
        <v>269</v>
      </c>
      <c r="R360" s="13" t="s">
        <v>280</v>
      </c>
      <c r="S360" s="18" t="s">
        <v>360</v>
      </c>
      <c r="T360" s="18">
        <v>0</v>
      </c>
      <c r="U360" s="18"/>
      <c r="V360" s="18"/>
      <c r="W360" s="18">
        <f t="shared" si="10"/>
        <v>0</v>
      </c>
      <c r="X360" s="18"/>
      <c r="Y360" s="18"/>
      <c r="Z360" s="21"/>
    </row>
    <row r="361" spans="2:26" ht="30">
      <c r="B361" s="3"/>
      <c r="C361" s="48" t="s">
        <v>1222</v>
      </c>
      <c r="D361" s="48" t="s">
        <v>1222</v>
      </c>
      <c r="E361" s="18" t="s">
        <v>1217</v>
      </c>
      <c r="F361" s="499" t="s">
        <v>398</v>
      </c>
      <c r="G361" s="282"/>
      <c r="H361" s="519" t="s">
        <v>219</v>
      </c>
      <c r="I361" s="13" t="s">
        <v>249</v>
      </c>
      <c r="J361" s="34" t="s">
        <v>1652</v>
      </c>
      <c r="K361" s="16" t="s">
        <v>408</v>
      </c>
      <c r="L361" s="16">
        <v>28.89</v>
      </c>
      <c r="M361" s="16">
        <v>28.89</v>
      </c>
      <c r="N361" s="196">
        <v>6</v>
      </c>
      <c r="P361" s="13" t="s">
        <v>268</v>
      </c>
      <c r="Q361" s="13" t="s">
        <v>269</v>
      </c>
      <c r="R361" s="13" t="s">
        <v>280</v>
      </c>
      <c r="S361" s="18" t="s">
        <v>360</v>
      </c>
      <c r="T361" s="18">
        <v>0</v>
      </c>
      <c r="U361" s="18"/>
      <c r="V361" s="18"/>
      <c r="W361" s="18">
        <f t="shared" si="10"/>
        <v>0</v>
      </c>
      <c r="X361" s="18"/>
      <c r="Y361" s="18"/>
      <c r="Z361" s="21"/>
    </row>
    <row r="362" spans="2:26">
      <c r="B362" s="3"/>
      <c r="C362" s="48" t="s">
        <v>1222</v>
      </c>
      <c r="D362" s="48" t="s">
        <v>1222</v>
      </c>
      <c r="E362" s="18" t="s">
        <v>1217</v>
      </c>
      <c r="F362" s="499" t="s">
        <v>398</v>
      </c>
      <c r="G362" s="282" t="s">
        <v>388</v>
      </c>
      <c r="H362" s="519" t="s">
        <v>219</v>
      </c>
      <c r="I362" s="13" t="s">
        <v>248</v>
      </c>
      <c r="J362" s="34" t="s">
        <v>516</v>
      </c>
      <c r="K362" s="16" t="s">
        <v>409</v>
      </c>
      <c r="L362" s="16">
        <v>73.87</v>
      </c>
      <c r="M362" s="16">
        <v>73.87</v>
      </c>
      <c r="N362" s="196">
        <v>50</v>
      </c>
      <c r="P362" s="13" t="s">
        <v>268</v>
      </c>
      <c r="Q362" s="13" t="s">
        <v>269</v>
      </c>
      <c r="R362" s="13" t="s">
        <v>280</v>
      </c>
      <c r="S362" s="18" t="s">
        <v>360</v>
      </c>
      <c r="T362" s="18">
        <v>0</v>
      </c>
      <c r="U362" s="18"/>
      <c r="V362" s="18"/>
      <c r="W362" s="18">
        <f t="shared" si="10"/>
        <v>0</v>
      </c>
      <c r="X362" s="18"/>
      <c r="Y362" s="18"/>
      <c r="Z362" s="21"/>
    </row>
    <row r="363" spans="2:26">
      <c r="B363" s="3"/>
      <c r="C363" s="48" t="s">
        <v>1222</v>
      </c>
      <c r="D363" s="48" t="s">
        <v>1222</v>
      </c>
      <c r="E363" s="18" t="s">
        <v>1217</v>
      </c>
      <c r="F363" s="499" t="s">
        <v>398</v>
      </c>
      <c r="G363" s="282" t="s">
        <v>388</v>
      </c>
      <c r="H363" s="519" t="s">
        <v>219</v>
      </c>
      <c r="I363" s="13" t="s">
        <v>248</v>
      </c>
      <c r="J363" s="34" t="s">
        <v>516</v>
      </c>
      <c r="K363" s="16" t="s">
        <v>410</v>
      </c>
      <c r="L363" s="16">
        <v>73.8</v>
      </c>
      <c r="M363" s="16">
        <v>73.8</v>
      </c>
      <c r="N363" s="196">
        <v>50</v>
      </c>
      <c r="P363" s="13" t="s">
        <v>268</v>
      </c>
      <c r="Q363" s="13" t="s">
        <v>269</v>
      </c>
      <c r="R363" s="13" t="s">
        <v>280</v>
      </c>
      <c r="S363" s="18" t="s">
        <v>360</v>
      </c>
      <c r="T363" s="18">
        <v>0</v>
      </c>
      <c r="U363" s="18"/>
      <c r="V363" s="18"/>
      <c r="W363" s="18">
        <f t="shared" si="10"/>
        <v>0</v>
      </c>
      <c r="X363" s="18"/>
      <c r="Y363" s="18"/>
      <c r="Z363" s="21"/>
    </row>
    <row r="364" spans="2:26">
      <c r="B364" s="3"/>
      <c r="C364" s="48" t="s">
        <v>1222</v>
      </c>
      <c r="D364" s="48" t="s">
        <v>1222</v>
      </c>
      <c r="E364" s="18" t="s">
        <v>1217</v>
      </c>
      <c r="F364" s="499" t="s">
        <v>398</v>
      </c>
      <c r="G364" s="282" t="s">
        <v>388</v>
      </c>
      <c r="H364" s="519" t="s">
        <v>219</v>
      </c>
      <c r="I364" s="13" t="s">
        <v>248</v>
      </c>
      <c r="J364" s="34" t="s">
        <v>516</v>
      </c>
      <c r="K364" s="16" t="s">
        <v>411</v>
      </c>
      <c r="L364" s="16">
        <v>58.75</v>
      </c>
      <c r="M364" s="16">
        <v>58.75</v>
      </c>
      <c r="N364" s="196">
        <v>40</v>
      </c>
      <c r="P364" s="13" t="s">
        <v>268</v>
      </c>
      <c r="Q364" s="13" t="s">
        <v>269</v>
      </c>
      <c r="R364" s="13" t="s">
        <v>280</v>
      </c>
      <c r="S364" s="18" t="s">
        <v>360</v>
      </c>
      <c r="T364" s="18">
        <v>0</v>
      </c>
      <c r="U364" s="18"/>
      <c r="V364" s="18"/>
      <c r="W364" s="18">
        <f t="shared" si="10"/>
        <v>0</v>
      </c>
      <c r="X364" s="18"/>
      <c r="Y364" s="18"/>
      <c r="Z364" s="21"/>
    </row>
    <row r="365" spans="2:26">
      <c r="B365" s="3"/>
      <c r="C365" s="48" t="s">
        <v>1222</v>
      </c>
      <c r="D365" s="48" t="s">
        <v>1222</v>
      </c>
      <c r="E365" s="18" t="s">
        <v>1217</v>
      </c>
      <c r="F365" s="499" t="s">
        <v>398</v>
      </c>
      <c r="G365" s="282" t="s">
        <v>388</v>
      </c>
      <c r="H365" s="519" t="s">
        <v>219</v>
      </c>
      <c r="I365" s="13" t="s">
        <v>248</v>
      </c>
      <c r="J365" s="34" t="s">
        <v>516</v>
      </c>
      <c r="K365" s="16" t="s">
        <v>412</v>
      </c>
      <c r="L365" s="16">
        <v>88.67</v>
      </c>
      <c r="M365" s="16">
        <v>88.67</v>
      </c>
      <c r="N365" s="196">
        <v>60</v>
      </c>
      <c r="P365" s="13" t="s">
        <v>268</v>
      </c>
      <c r="Q365" s="13" t="s">
        <v>269</v>
      </c>
      <c r="R365" s="13" t="s">
        <v>280</v>
      </c>
      <c r="S365" s="18" t="s">
        <v>360</v>
      </c>
      <c r="T365" s="18">
        <v>0</v>
      </c>
      <c r="U365" s="18"/>
      <c r="V365" s="18"/>
      <c r="W365" s="18">
        <f t="shared" si="10"/>
        <v>0</v>
      </c>
      <c r="X365" s="18"/>
      <c r="Y365" s="18"/>
      <c r="Z365" s="21"/>
    </row>
    <row r="366" spans="2:26">
      <c r="B366" s="3"/>
      <c r="C366" s="48" t="s">
        <v>1222</v>
      </c>
      <c r="D366" s="48" t="s">
        <v>1222</v>
      </c>
      <c r="E366" s="18" t="s">
        <v>1217</v>
      </c>
      <c r="F366" s="499" t="s">
        <v>398</v>
      </c>
      <c r="G366" s="282"/>
      <c r="H366" s="519" t="s">
        <v>219</v>
      </c>
      <c r="I366" s="13" t="s">
        <v>355</v>
      </c>
      <c r="J366" s="506" t="s">
        <v>2521</v>
      </c>
      <c r="K366" s="503"/>
      <c r="L366" s="507">
        <v>5.54</v>
      </c>
      <c r="M366" s="507">
        <v>5.54</v>
      </c>
      <c r="N366" s="505"/>
      <c r="O366" s="505"/>
      <c r="P366" s="13" t="s">
        <v>572</v>
      </c>
      <c r="Q366" s="13" t="s">
        <v>572</v>
      </c>
      <c r="R366" s="13" t="s">
        <v>573</v>
      </c>
      <c r="S366" s="18" t="s">
        <v>100</v>
      </c>
      <c r="T366" s="18">
        <v>0</v>
      </c>
      <c r="U366" s="18"/>
      <c r="V366" s="18"/>
      <c r="W366" s="18">
        <f t="shared" si="10"/>
        <v>0</v>
      </c>
      <c r="X366" s="18"/>
      <c r="Y366" s="18"/>
      <c r="Z366" s="21"/>
    </row>
    <row r="367" spans="2:26">
      <c r="B367" s="3"/>
      <c r="C367" s="48" t="s">
        <v>1222</v>
      </c>
      <c r="D367" s="48" t="s">
        <v>1222</v>
      </c>
      <c r="E367" s="18" t="s">
        <v>1217</v>
      </c>
      <c r="F367" s="499" t="s">
        <v>398</v>
      </c>
      <c r="G367" s="282"/>
      <c r="H367" s="519" t="s">
        <v>219</v>
      </c>
      <c r="I367" s="13" t="s">
        <v>192</v>
      </c>
      <c r="J367" s="506" t="s">
        <v>367</v>
      </c>
      <c r="K367" s="503"/>
      <c r="L367" s="507">
        <v>9.0299999999999994</v>
      </c>
      <c r="M367" s="507">
        <v>9.0299999999999994</v>
      </c>
      <c r="N367" s="505"/>
      <c r="O367" s="505"/>
      <c r="P367" s="13" t="s">
        <v>572</v>
      </c>
      <c r="Q367" s="13" t="s">
        <v>572</v>
      </c>
      <c r="R367" s="13" t="s">
        <v>573</v>
      </c>
      <c r="S367" s="18" t="s">
        <v>100</v>
      </c>
      <c r="T367" s="18">
        <v>0</v>
      </c>
      <c r="U367" s="18"/>
      <c r="V367" s="18"/>
      <c r="W367" s="18">
        <f t="shared" si="10"/>
        <v>0</v>
      </c>
      <c r="X367" s="18"/>
      <c r="Y367" s="18"/>
      <c r="Z367" s="21"/>
    </row>
    <row r="368" spans="2:26">
      <c r="B368" s="3"/>
      <c r="C368" s="48" t="s">
        <v>1222</v>
      </c>
      <c r="D368" s="48" t="s">
        <v>1222</v>
      </c>
      <c r="E368" s="18" t="s">
        <v>1217</v>
      </c>
      <c r="F368" s="499" t="s">
        <v>398</v>
      </c>
      <c r="G368" s="282"/>
      <c r="H368" s="519" t="s">
        <v>219</v>
      </c>
      <c r="I368" s="13" t="s">
        <v>192</v>
      </c>
      <c r="J368" s="506" t="s">
        <v>368</v>
      </c>
      <c r="K368" s="503"/>
      <c r="L368" s="507">
        <v>9.66</v>
      </c>
      <c r="M368" s="507">
        <v>9.66</v>
      </c>
      <c r="N368" s="505"/>
      <c r="O368" s="505"/>
      <c r="P368" s="13" t="s">
        <v>572</v>
      </c>
      <c r="Q368" s="13" t="s">
        <v>572</v>
      </c>
      <c r="R368" s="13" t="s">
        <v>573</v>
      </c>
      <c r="S368" s="18" t="s">
        <v>100</v>
      </c>
      <c r="T368" s="18">
        <v>0</v>
      </c>
      <c r="U368" s="18"/>
      <c r="V368" s="18"/>
      <c r="W368" s="18">
        <f t="shared" si="10"/>
        <v>0</v>
      </c>
      <c r="X368" s="18"/>
      <c r="Y368" s="18"/>
      <c r="Z368" s="21"/>
    </row>
    <row r="369" spans="2:26">
      <c r="B369" s="3"/>
      <c r="C369" s="48" t="s">
        <v>1222</v>
      </c>
      <c r="D369" s="48" t="s">
        <v>1222</v>
      </c>
      <c r="E369" s="18" t="s">
        <v>1217</v>
      </c>
      <c r="F369" s="499" t="s">
        <v>398</v>
      </c>
      <c r="G369" s="282"/>
      <c r="H369" s="519" t="s">
        <v>219</v>
      </c>
      <c r="I369" s="13" t="s">
        <v>192</v>
      </c>
      <c r="J369" s="506" t="s">
        <v>406</v>
      </c>
      <c r="K369" s="503"/>
      <c r="L369" s="507">
        <v>3.29</v>
      </c>
      <c r="M369" s="507">
        <v>3.29</v>
      </c>
      <c r="N369" s="505"/>
      <c r="O369" s="505"/>
      <c r="P369" s="13" t="s">
        <v>572</v>
      </c>
      <c r="Q369" s="13" t="s">
        <v>572</v>
      </c>
      <c r="R369" s="13" t="s">
        <v>573</v>
      </c>
      <c r="S369" s="18" t="s">
        <v>100</v>
      </c>
      <c r="T369" s="18">
        <v>0</v>
      </c>
      <c r="U369" s="18"/>
      <c r="V369" s="18"/>
      <c r="W369" s="18">
        <f t="shared" si="10"/>
        <v>0</v>
      </c>
      <c r="X369" s="18"/>
      <c r="Y369" s="18"/>
      <c r="Z369" s="21"/>
    </row>
    <row r="370" spans="2:26">
      <c r="B370" s="3"/>
      <c r="C370" s="48" t="s">
        <v>1222</v>
      </c>
      <c r="D370" s="48" t="s">
        <v>1222</v>
      </c>
      <c r="E370" s="18" t="s">
        <v>1217</v>
      </c>
      <c r="F370" s="499" t="s">
        <v>398</v>
      </c>
      <c r="G370" s="282"/>
      <c r="H370" s="519" t="s">
        <v>219</v>
      </c>
      <c r="I370" s="13" t="s">
        <v>355</v>
      </c>
      <c r="J370" s="506" t="s">
        <v>233</v>
      </c>
      <c r="K370" s="503"/>
      <c r="L370" s="507">
        <v>4.91</v>
      </c>
      <c r="M370" s="507">
        <v>4.91</v>
      </c>
      <c r="N370" s="505"/>
      <c r="O370" s="505"/>
      <c r="P370" s="13" t="s">
        <v>268</v>
      </c>
      <c r="Q370" s="13" t="s">
        <v>269</v>
      </c>
      <c r="R370" s="13" t="s">
        <v>459</v>
      </c>
      <c r="S370" s="18" t="s">
        <v>360</v>
      </c>
      <c r="T370" s="18">
        <v>0</v>
      </c>
      <c r="U370" s="18"/>
      <c r="V370" s="18"/>
      <c r="W370" s="18">
        <f t="shared" si="10"/>
        <v>0</v>
      </c>
      <c r="X370" s="18"/>
      <c r="Y370" s="18"/>
      <c r="Z370" s="21"/>
    </row>
    <row r="371" spans="2:26">
      <c r="B371" s="3"/>
      <c r="C371" s="48" t="s">
        <v>1222</v>
      </c>
      <c r="D371" s="48" t="s">
        <v>1222</v>
      </c>
      <c r="E371" s="18" t="s">
        <v>1217</v>
      </c>
      <c r="F371" s="499" t="s">
        <v>398</v>
      </c>
      <c r="G371" s="282" t="s">
        <v>388</v>
      </c>
      <c r="H371" s="519" t="s">
        <v>234</v>
      </c>
      <c r="I371" s="13" t="s">
        <v>248</v>
      </c>
      <c r="J371" s="34" t="s">
        <v>366</v>
      </c>
      <c r="K371" s="16" t="s">
        <v>413</v>
      </c>
      <c r="L371" s="16">
        <v>59.1</v>
      </c>
      <c r="M371" s="16">
        <v>59.1</v>
      </c>
      <c r="N371" s="196">
        <v>30</v>
      </c>
      <c r="P371" s="13" t="s">
        <v>268</v>
      </c>
      <c r="Q371" s="13" t="s">
        <v>269</v>
      </c>
      <c r="R371" s="13" t="s">
        <v>280</v>
      </c>
      <c r="S371" s="18" t="s">
        <v>360</v>
      </c>
      <c r="T371" s="18">
        <v>0</v>
      </c>
      <c r="U371" s="18"/>
      <c r="V371" s="18"/>
      <c r="W371" s="18">
        <f t="shared" si="10"/>
        <v>0</v>
      </c>
      <c r="X371" s="18"/>
      <c r="Y371" s="18"/>
      <c r="Z371" s="21"/>
    </row>
    <row r="372" spans="2:26">
      <c r="B372" s="3"/>
      <c r="C372" s="48" t="s">
        <v>1222</v>
      </c>
      <c r="D372" s="48" t="s">
        <v>1222</v>
      </c>
      <c r="E372" s="18" t="s">
        <v>1217</v>
      </c>
      <c r="F372" s="499" t="s">
        <v>398</v>
      </c>
      <c r="G372" s="282" t="s">
        <v>388</v>
      </c>
      <c r="H372" s="519" t="s">
        <v>234</v>
      </c>
      <c r="I372" s="13" t="s">
        <v>248</v>
      </c>
      <c r="J372" s="34" t="s">
        <v>366</v>
      </c>
      <c r="K372" s="16" t="s">
        <v>414</v>
      </c>
      <c r="L372" s="16">
        <v>59.43</v>
      </c>
      <c r="M372" s="16">
        <v>59.43</v>
      </c>
      <c r="N372" s="196">
        <v>30</v>
      </c>
      <c r="P372" s="13" t="s">
        <v>268</v>
      </c>
      <c r="Q372" s="13" t="s">
        <v>269</v>
      </c>
      <c r="R372" s="13" t="s">
        <v>280</v>
      </c>
      <c r="S372" s="18" t="s">
        <v>360</v>
      </c>
      <c r="T372" s="18">
        <v>0</v>
      </c>
      <c r="U372" s="18"/>
      <c r="V372" s="18"/>
      <c r="W372" s="18">
        <f t="shared" si="10"/>
        <v>0</v>
      </c>
      <c r="X372" s="18"/>
      <c r="Y372" s="18"/>
      <c r="Z372" s="21"/>
    </row>
    <row r="373" spans="2:26">
      <c r="B373" s="3"/>
      <c r="C373" s="48" t="s">
        <v>1222</v>
      </c>
      <c r="D373" s="48" t="s">
        <v>1222</v>
      </c>
      <c r="E373" s="18" t="s">
        <v>1217</v>
      </c>
      <c r="F373" s="499" t="s">
        <v>398</v>
      </c>
      <c r="G373" s="282" t="s">
        <v>388</v>
      </c>
      <c r="H373" s="519" t="s">
        <v>234</v>
      </c>
      <c r="I373" s="13" t="s">
        <v>248</v>
      </c>
      <c r="J373" s="34" t="s">
        <v>366</v>
      </c>
      <c r="K373" s="16" t="s">
        <v>415</v>
      </c>
      <c r="L373" s="16">
        <v>59.41</v>
      </c>
      <c r="M373" s="16">
        <v>59.41</v>
      </c>
      <c r="N373" s="196">
        <v>30</v>
      </c>
      <c r="P373" s="13" t="s">
        <v>268</v>
      </c>
      <c r="Q373" s="13" t="s">
        <v>269</v>
      </c>
      <c r="R373" s="13" t="s">
        <v>280</v>
      </c>
      <c r="S373" s="18" t="s">
        <v>360</v>
      </c>
      <c r="T373" s="18">
        <v>0</v>
      </c>
      <c r="U373" s="18"/>
      <c r="V373" s="18"/>
      <c r="W373" s="18">
        <f t="shared" si="10"/>
        <v>0</v>
      </c>
      <c r="X373" s="18"/>
      <c r="Y373" s="18"/>
      <c r="Z373" s="21"/>
    </row>
    <row r="374" spans="2:26">
      <c r="B374" s="3"/>
      <c r="C374" s="48" t="s">
        <v>1222</v>
      </c>
      <c r="D374" s="48" t="s">
        <v>1222</v>
      </c>
      <c r="E374" s="18" t="s">
        <v>1217</v>
      </c>
      <c r="F374" s="499" t="s">
        <v>398</v>
      </c>
      <c r="G374" s="282" t="s">
        <v>388</v>
      </c>
      <c r="H374" s="519" t="s">
        <v>234</v>
      </c>
      <c r="I374" s="13" t="s">
        <v>248</v>
      </c>
      <c r="J374" s="34" t="s">
        <v>366</v>
      </c>
      <c r="K374" s="16" t="s">
        <v>416</v>
      </c>
      <c r="L374" s="16">
        <v>44.11</v>
      </c>
      <c r="M374" s="16">
        <v>44.11</v>
      </c>
      <c r="N374" s="196">
        <v>7</v>
      </c>
      <c r="P374" s="13" t="s">
        <v>268</v>
      </c>
      <c r="Q374" s="13" t="s">
        <v>269</v>
      </c>
      <c r="R374" s="13" t="s">
        <v>280</v>
      </c>
      <c r="S374" s="18" t="s">
        <v>360</v>
      </c>
      <c r="T374" s="18">
        <v>0</v>
      </c>
      <c r="U374" s="18"/>
      <c r="V374" s="18"/>
      <c r="W374" s="18">
        <f t="shared" si="10"/>
        <v>0</v>
      </c>
      <c r="X374" s="18"/>
      <c r="Y374" s="18"/>
      <c r="Z374" s="21"/>
    </row>
    <row r="375" spans="2:26">
      <c r="B375" s="3"/>
      <c r="C375" s="48" t="s">
        <v>1222</v>
      </c>
      <c r="D375" s="48" t="s">
        <v>1222</v>
      </c>
      <c r="E375" s="18" t="s">
        <v>1217</v>
      </c>
      <c r="F375" s="499" t="s">
        <v>398</v>
      </c>
      <c r="G375" s="282" t="s">
        <v>388</v>
      </c>
      <c r="H375" s="519" t="s">
        <v>234</v>
      </c>
      <c r="I375" s="13" t="s">
        <v>248</v>
      </c>
      <c r="J375" s="34" t="s">
        <v>366</v>
      </c>
      <c r="K375" s="16" t="s">
        <v>417</v>
      </c>
      <c r="L375" s="16">
        <v>58.75</v>
      </c>
      <c r="M375" s="16">
        <v>58.75</v>
      </c>
      <c r="N375" s="196">
        <v>30</v>
      </c>
      <c r="P375" s="13" t="s">
        <v>268</v>
      </c>
      <c r="Q375" s="13" t="s">
        <v>269</v>
      </c>
      <c r="R375" s="13" t="s">
        <v>280</v>
      </c>
      <c r="S375" s="18" t="s">
        <v>360</v>
      </c>
      <c r="T375" s="18">
        <v>0</v>
      </c>
      <c r="U375" s="18"/>
      <c r="V375" s="18"/>
      <c r="W375" s="18">
        <f t="shared" si="10"/>
        <v>0</v>
      </c>
      <c r="X375" s="18"/>
      <c r="Y375" s="18"/>
      <c r="Z375" s="21"/>
    </row>
    <row r="376" spans="2:26">
      <c r="B376" s="3"/>
      <c r="C376" s="48" t="s">
        <v>1222</v>
      </c>
      <c r="D376" s="48" t="s">
        <v>1222</v>
      </c>
      <c r="E376" s="18" t="s">
        <v>1217</v>
      </c>
      <c r="F376" s="499" t="s">
        <v>398</v>
      </c>
      <c r="G376" s="282" t="s">
        <v>388</v>
      </c>
      <c r="H376" s="519" t="s">
        <v>234</v>
      </c>
      <c r="I376" s="13" t="s">
        <v>248</v>
      </c>
      <c r="J376" s="34" t="s">
        <v>366</v>
      </c>
      <c r="K376" s="16" t="s">
        <v>418</v>
      </c>
      <c r="L376" s="16">
        <v>44.09</v>
      </c>
      <c r="M376" s="16">
        <v>44.09</v>
      </c>
      <c r="N376" s="196">
        <v>20</v>
      </c>
      <c r="P376" s="13" t="s">
        <v>268</v>
      </c>
      <c r="Q376" s="13" t="s">
        <v>269</v>
      </c>
      <c r="R376" s="13" t="s">
        <v>280</v>
      </c>
      <c r="S376" s="18" t="s">
        <v>360</v>
      </c>
      <c r="T376" s="18">
        <v>0</v>
      </c>
      <c r="U376" s="18"/>
      <c r="V376" s="18"/>
      <c r="W376" s="18">
        <f t="shared" si="10"/>
        <v>0</v>
      </c>
      <c r="X376" s="18"/>
      <c r="Y376" s="18"/>
      <c r="Z376" s="21"/>
    </row>
    <row r="377" spans="2:26">
      <c r="B377" s="3"/>
      <c r="C377" s="48" t="s">
        <v>1222</v>
      </c>
      <c r="D377" s="48" t="s">
        <v>1222</v>
      </c>
      <c r="E377" s="18" t="s">
        <v>1217</v>
      </c>
      <c r="F377" s="499" t="s">
        <v>398</v>
      </c>
      <c r="G377" s="282" t="s">
        <v>388</v>
      </c>
      <c r="H377" s="519" t="s">
        <v>234</v>
      </c>
      <c r="I377" s="13" t="s">
        <v>248</v>
      </c>
      <c r="J377" s="34" t="s">
        <v>366</v>
      </c>
      <c r="K377" s="16" t="s">
        <v>419</v>
      </c>
      <c r="L377" s="16">
        <v>44.06</v>
      </c>
      <c r="M377" s="16">
        <v>44.06</v>
      </c>
      <c r="N377" s="196">
        <v>7</v>
      </c>
      <c r="P377" s="13" t="s">
        <v>268</v>
      </c>
      <c r="Q377" s="13" t="s">
        <v>269</v>
      </c>
      <c r="R377" s="13" t="s">
        <v>280</v>
      </c>
      <c r="S377" s="18" t="s">
        <v>360</v>
      </c>
      <c r="T377" s="18">
        <v>0</v>
      </c>
      <c r="U377" s="18"/>
      <c r="V377" s="18"/>
      <c r="W377" s="18">
        <f t="shared" si="10"/>
        <v>0</v>
      </c>
      <c r="X377" s="18"/>
      <c r="Y377" s="18"/>
      <c r="Z377" s="21"/>
    </row>
    <row r="378" spans="2:26">
      <c r="B378" s="3"/>
      <c r="C378" s="48" t="s">
        <v>1222</v>
      </c>
      <c r="D378" s="48" t="s">
        <v>1222</v>
      </c>
      <c r="E378" s="18" t="s">
        <v>1217</v>
      </c>
      <c r="F378" s="499" t="s">
        <v>398</v>
      </c>
      <c r="G378" s="282"/>
      <c r="H378" s="519" t="s">
        <v>234</v>
      </c>
      <c r="I378" s="13" t="s">
        <v>27</v>
      </c>
      <c r="J378" s="506" t="s">
        <v>1397</v>
      </c>
      <c r="K378" s="503"/>
      <c r="L378" s="507">
        <v>5.54</v>
      </c>
      <c r="M378" s="507">
        <v>5.54</v>
      </c>
      <c r="N378" s="505"/>
      <c r="O378" s="505"/>
      <c r="P378" s="13" t="s">
        <v>572</v>
      </c>
      <c r="Q378" s="13" t="s">
        <v>572</v>
      </c>
      <c r="R378" s="13" t="s">
        <v>573</v>
      </c>
      <c r="S378" s="18" t="s">
        <v>100</v>
      </c>
      <c r="T378" s="18">
        <v>0</v>
      </c>
      <c r="U378" s="18"/>
      <c r="V378" s="18"/>
      <c r="W378" s="18">
        <f t="shared" si="10"/>
        <v>0</v>
      </c>
      <c r="X378" s="18"/>
      <c r="Y378" s="18"/>
      <c r="Z378" s="21"/>
    </row>
    <row r="379" spans="2:26">
      <c r="B379" s="3"/>
      <c r="C379" s="48" t="s">
        <v>1222</v>
      </c>
      <c r="D379" s="48" t="s">
        <v>1222</v>
      </c>
      <c r="E379" s="18" t="s">
        <v>1217</v>
      </c>
      <c r="F379" s="499" t="s">
        <v>398</v>
      </c>
      <c r="G379" s="282"/>
      <c r="H379" s="519" t="s">
        <v>234</v>
      </c>
      <c r="I379" s="13" t="s">
        <v>192</v>
      </c>
      <c r="J379" s="506" t="s">
        <v>367</v>
      </c>
      <c r="K379" s="503"/>
      <c r="L379" s="507">
        <v>9.0299999999999994</v>
      </c>
      <c r="M379" s="507">
        <v>9.0299999999999994</v>
      </c>
      <c r="N379" s="505"/>
      <c r="O379" s="505"/>
      <c r="P379" s="13" t="s">
        <v>572</v>
      </c>
      <c r="Q379" s="13" t="s">
        <v>572</v>
      </c>
      <c r="R379" s="13" t="s">
        <v>573</v>
      </c>
      <c r="S379" s="18" t="s">
        <v>100</v>
      </c>
      <c r="T379" s="18">
        <v>0</v>
      </c>
      <c r="U379" s="18"/>
      <c r="V379" s="18"/>
      <c r="W379" s="18">
        <f t="shared" si="10"/>
        <v>0</v>
      </c>
      <c r="X379" s="18"/>
      <c r="Y379" s="18"/>
      <c r="Z379" s="21"/>
    </row>
    <row r="380" spans="2:26">
      <c r="B380" s="3"/>
      <c r="C380" s="48" t="s">
        <v>1222</v>
      </c>
      <c r="D380" s="48" t="s">
        <v>1222</v>
      </c>
      <c r="E380" s="18" t="s">
        <v>1217</v>
      </c>
      <c r="F380" s="499" t="s">
        <v>398</v>
      </c>
      <c r="G380" s="282"/>
      <c r="H380" s="519" t="s">
        <v>234</v>
      </c>
      <c r="I380" s="13" t="s">
        <v>192</v>
      </c>
      <c r="J380" s="506" t="s">
        <v>368</v>
      </c>
      <c r="K380" s="503"/>
      <c r="L380" s="507">
        <v>9.66</v>
      </c>
      <c r="M380" s="507">
        <v>9.66</v>
      </c>
      <c r="N380" s="505"/>
      <c r="O380" s="505"/>
      <c r="P380" s="13" t="s">
        <v>572</v>
      </c>
      <c r="Q380" s="13" t="s">
        <v>572</v>
      </c>
      <c r="R380" s="13" t="s">
        <v>573</v>
      </c>
      <c r="S380" s="18" t="s">
        <v>100</v>
      </c>
      <c r="T380" s="18">
        <v>0</v>
      </c>
      <c r="U380" s="18"/>
      <c r="V380" s="18"/>
      <c r="W380" s="18">
        <f t="shared" si="10"/>
        <v>0</v>
      </c>
      <c r="X380" s="18"/>
      <c r="Y380" s="18"/>
      <c r="Z380" s="21"/>
    </row>
    <row r="381" spans="2:26">
      <c r="B381" s="3"/>
      <c r="C381" s="48" t="s">
        <v>1222</v>
      </c>
      <c r="D381" s="48" t="s">
        <v>1222</v>
      </c>
      <c r="E381" s="18" t="s">
        <v>1217</v>
      </c>
      <c r="F381" s="499" t="s">
        <v>398</v>
      </c>
      <c r="G381" s="282"/>
      <c r="H381" s="519" t="s">
        <v>234</v>
      </c>
      <c r="I381" s="13" t="s">
        <v>192</v>
      </c>
      <c r="J381" s="506" t="s">
        <v>406</v>
      </c>
      <c r="K381" s="503"/>
      <c r="L381" s="507">
        <v>3.29</v>
      </c>
      <c r="M381" s="507">
        <v>3.29</v>
      </c>
      <c r="N381" s="505"/>
      <c r="O381" s="505"/>
      <c r="P381" s="13" t="s">
        <v>572</v>
      </c>
      <c r="Q381" s="13" t="s">
        <v>572</v>
      </c>
      <c r="R381" s="13" t="s">
        <v>573</v>
      </c>
      <c r="S381" s="18" t="s">
        <v>100</v>
      </c>
      <c r="T381" s="18">
        <v>0</v>
      </c>
      <c r="U381" s="18"/>
      <c r="V381" s="18"/>
      <c r="W381" s="18">
        <f t="shared" si="10"/>
        <v>0</v>
      </c>
      <c r="X381" s="18"/>
      <c r="Y381" s="18"/>
      <c r="Z381" s="21"/>
    </row>
    <row r="382" spans="2:26">
      <c r="B382" s="3"/>
      <c r="C382" s="48" t="s">
        <v>1222</v>
      </c>
      <c r="D382" s="48" t="s">
        <v>1222</v>
      </c>
      <c r="E382" s="18" t="s">
        <v>1217</v>
      </c>
      <c r="F382" s="499" t="s">
        <v>398</v>
      </c>
      <c r="G382" s="282"/>
      <c r="H382" s="519" t="s">
        <v>234</v>
      </c>
      <c r="I382" s="13" t="s">
        <v>355</v>
      </c>
      <c r="J382" s="506" t="s">
        <v>233</v>
      </c>
      <c r="K382" s="503"/>
      <c r="L382" s="507">
        <v>4.91</v>
      </c>
      <c r="M382" s="507">
        <v>4.91</v>
      </c>
      <c r="N382" s="505"/>
      <c r="O382" s="505"/>
      <c r="P382" s="13" t="s">
        <v>268</v>
      </c>
      <c r="Q382" s="13" t="s">
        <v>269</v>
      </c>
      <c r="R382" s="13" t="s">
        <v>459</v>
      </c>
      <c r="S382" s="18" t="s">
        <v>360</v>
      </c>
      <c r="T382" s="18">
        <v>0</v>
      </c>
      <c r="U382" s="18"/>
      <c r="V382" s="18"/>
      <c r="W382" s="18">
        <f t="shared" si="10"/>
        <v>0</v>
      </c>
      <c r="X382" s="18"/>
      <c r="Y382" s="18"/>
      <c r="Z382" s="21"/>
    </row>
    <row r="383" spans="2:26">
      <c r="C383" s="48" t="s">
        <v>1222</v>
      </c>
      <c r="D383" s="48" t="s">
        <v>1222</v>
      </c>
      <c r="E383" s="18" t="s">
        <v>1217</v>
      </c>
      <c r="F383" s="499" t="s">
        <v>398</v>
      </c>
      <c r="G383" s="282"/>
      <c r="H383" s="519" t="s">
        <v>239</v>
      </c>
      <c r="I383" s="13" t="s">
        <v>249</v>
      </c>
      <c r="J383" s="60" t="s">
        <v>1653</v>
      </c>
      <c r="K383" s="16" t="s">
        <v>420</v>
      </c>
      <c r="L383" s="16">
        <v>59.1</v>
      </c>
      <c r="M383" s="16">
        <v>59.1</v>
      </c>
      <c r="N383" s="196">
        <v>30</v>
      </c>
      <c r="P383" s="13" t="s">
        <v>268</v>
      </c>
      <c r="Q383" s="13" t="s">
        <v>269</v>
      </c>
      <c r="R383" s="13" t="s">
        <v>280</v>
      </c>
      <c r="S383" s="18" t="s">
        <v>360</v>
      </c>
      <c r="T383" s="18">
        <v>0</v>
      </c>
      <c r="U383" s="18"/>
      <c r="V383" s="18"/>
      <c r="W383" s="18">
        <f t="shared" si="10"/>
        <v>0</v>
      </c>
      <c r="X383" s="18"/>
      <c r="Y383" s="18"/>
      <c r="Z383" s="21"/>
    </row>
    <row r="384" spans="2:26">
      <c r="C384" s="48" t="s">
        <v>1222</v>
      </c>
      <c r="D384" s="48" t="s">
        <v>1222</v>
      </c>
      <c r="E384" s="18" t="s">
        <v>1217</v>
      </c>
      <c r="F384" s="499" t="s">
        <v>398</v>
      </c>
      <c r="G384" s="282"/>
      <c r="H384" s="519" t="s">
        <v>239</v>
      </c>
      <c r="I384" s="13" t="s">
        <v>249</v>
      </c>
      <c r="J384" s="60" t="s">
        <v>1654</v>
      </c>
      <c r="K384" s="16" t="s">
        <v>421</v>
      </c>
      <c r="L384" s="16">
        <v>59.43</v>
      </c>
      <c r="M384" s="16">
        <v>59.43</v>
      </c>
      <c r="N384" s="196">
        <v>30</v>
      </c>
      <c r="P384" s="13" t="s">
        <v>268</v>
      </c>
      <c r="Q384" s="13" t="s">
        <v>269</v>
      </c>
      <c r="R384" s="13" t="s">
        <v>280</v>
      </c>
      <c r="S384" s="18" t="s">
        <v>360</v>
      </c>
      <c r="T384" s="18">
        <v>0</v>
      </c>
      <c r="U384" s="18"/>
      <c r="V384" s="18"/>
      <c r="W384" s="18">
        <f t="shared" si="10"/>
        <v>0</v>
      </c>
      <c r="X384" s="18"/>
      <c r="Y384" s="18"/>
      <c r="Z384" s="21"/>
    </row>
    <row r="385" spans="3:26">
      <c r="C385" s="48" t="s">
        <v>1222</v>
      </c>
      <c r="D385" s="48" t="s">
        <v>1222</v>
      </c>
      <c r="E385" s="18" t="s">
        <v>1217</v>
      </c>
      <c r="F385" s="499" t="s">
        <v>398</v>
      </c>
      <c r="G385" s="282"/>
      <c r="H385" s="519" t="s">
        <v>239</v>
      </c>
      <c r="I385" s="13" t="s">
        <v>249</v>
      </c>
      <c r="J385" s="60" t="s">
        <v>1655</v>
      </c>
      <c r="K385" s="16" t="s">
        <v>422</v>
      </c>
      <c r="L385" s="16">
        <v>59.41</v>
      </c>
      <c r="M385" s="16">
        <v>59.41</v>
      </c>
      <c r="N385" s="196">
        <v>30</v>
      </c>
      <c r="P385" s="13" t="s">
        <v>268</v>
      </c>
      <c r="Q385" s="13" t="s">
        <v>269</v>
      </c>
      <c r="R385" s="13" t="s">
        <v>280</v>
      </c>
      <c r="S385" s="18" t="s">
        <v>360</v>
      </c>
      <c r="T385" s="18">
        <v>0</v>
      </c>
      <c r="U385" s="18"/>
      <c r="V385" s="18"/>
      <c r="W385" s="18">
        <f t="shared" si="10"/>
        <v>0</v>
      </c>
      <c r="X385" s="18"/>
      <c r="Y385" s="18"/>
      <c r="Z385" s="21"/>
    </row>
    <row r="386" spans="3:26">
      <c r="C386" s="48" t="s">
        <v>1222</v>
      </c>
      <c r="D386" s="48" t="s">
        <v>1222</v>
      </c>
      <c r="E386" s="18" t="s">
        <v>1217</v>
      </c>
      <c r="F386" s="499" t="s">
        <v>398</v>
      </c>
      <c r="G386" s="282"/>
      <c r="H386" s="519" t="s">
        <v>239</v>
      </c>
      <c r="I386" s="13" t="s">
        <v>249</v>
      </c>
      <c r="J386" s="34" t="s">
        <v>1656</v>
      </c>
      <c r="K386" s="16" t="s">
        <v>423</v>
      </c>
      <c r="L386" s="16">
        <v>44.11</v>
      </c>
      <c r="M386" s="16">
        <v>44.11</v>
      </c>
      <c r="N386" s="196">
        <v>7</v>
      </c>
      <c r="P386" s="13" t="s">
        <v>268</v>
      </c>
      <c r="Q386" s="13" t="s">
        <v>269</v>
      </c>
      <c r="R386" s="13" t="s">
        <v>280</v>
      </c>
      <c r="S386" s="18" t="s">
        <v>360</v>
      </c>
      <c r="T386" s="18">
        <v>0</v>
      </c>
      <c r="U386" s="18"/>
      <c r="V386" s="18"/>
      <c r="W386" s="18">
        <f t="shared" si="10"/>
        <v>0</v>
      </c>
      <c r="X386" s="18"/>
      <c r="Y386" s="18"/>
      <c r="Z386" s="21"/>
    </row>
    <row r="387" spans="3:26">
      <c r="C387" s="48" t="s">
        <v>1222</v>
      </c>
      <c r="D387" s="48" t="s">
        <v>1222</v>
      </c>
      <c r="E387" s="18" t="s">
        <v>1217</v>
      </c>
      <c r="F387" s="499" t="s">
        <v>398</v>
      </c>
      <c r="G387" s="282"/>
      <c r="H387" s="519" t="s">
        <v>239</v>
      </c>
      <c r="I387" s="13" t="s">
        <v>249</v>
      </c>
      <c r="J387" s="34" t="s">
        <v>1182</v>
      </c>
      <c r="K387" s="16" t="s">
        <v>424</v>
      </c>
      <c r="L387" s="16">
        <v>28.82</v>
      </c>
      <c r="M387" s="16">
        <v>28.82</v>
      </c>
      <c r="N387" s="196">
        <v>30</v>
      </c>
      <c r="P387" s="13" t="s">
        <v>268</v>
      </c>
      <c r="Q387" s="13" t="s">
        <v>269</v>
      </c>
      <c r="R387" s="13" t="s">
        <v>280</v>
      </c>
      <c r="S387" s="18" t="s">
        <v>360</v>
      </c>
      <c r="T387" s="18">
        <v>0</v>
      </c>
      <c r="U387" s="18"/>
      <c r="V387" s="18"/>
      <c r="W387" s="18">
        <f t="shared" si="10"/>
        <v>0</v>
      </c>
      <c r="X387" s="18"/>
      <c r="Y387" s="18"/>
      <c r="Z387" s="21"/>
    </row>
    <row r="388" spans="3:26">
      <c r="C388" s="48" t="s">
        <v>1222</v>
      </c>
      <c r="D388" s="48" t="s">
        <v>1222</v>
      </c>
      <c r="E388" s="18" t="s">
        <v>1217</v>
      </c>
      <c r="F388" s="499" t="s">
        <v>398</v>
      </c>
      <c r="G388" s="282"/>
      <c r="H388" s="519" t="s">
        <v>239</v>
      </c>
      <c r="I388" s="13" t="s">
        <v>249</v>
      </c>
      <c r="J388" s="34" t="s">
        <v>704</v>
      </c>
      <c r="K388" s="16" t="s">
        <v>425</v>
      </c>
      <c r="L388" s="16">
        <v>28.82</v>
      </c>
      <c r="M388" s="16">
        <v>28.82</v>
      </c>
      <c r="N388" s="196">
        <v>2</v>
      </c>
      <c r="P388" s="13" t="s">
        <v>268</v>
      </c>
      <c r="T388" s="18"/>
      <c r="U388" s="18"/>
      <c r="V388" s="18"/>
      <c r="W388" s="18"/>
      <c r="X388" s="18"/>
      <c r="Y388" s="18"/>
      <c r="Z388" s="21"/>
    </row>
    <row r="389" spans="3:26">
      <c r="C389" s="48" t="s">
        <v>1222</v>
      </c>
      <c r="D389" s="48" t="s">
        <v>1222</v>
      </c>
      <c r="E389" s="18" t="s">
        <v>1217</v>
      </c>
      <c r="F389" s="499" t="s">
        <v>398</v>
      </c>
      <c r="G389" s="282"/>
      <c r="H389" s="519" t="s">
        <v>239</v>
      </c>
      <c r="I389" s="13" t="s">
        <v>249</v>
      </c>
      <c r="J389" s="34" t="s">
        <v>1657</v>
      </c>
      <c r="K389" s="16" t="s">
        <v>426</v>
      </c>
      <c r="L389" s="16">
        <v>44.09</v>
      </c>
      <c r="M389" s="16">
        <v>44.09</v>
      </c>
      <c r="N389" s="196">
        <v>20</v>
      </c>
      <c r="P389" s="13" t="s">
        <v>268</v>
      </c>
      <c r="Q389" s="13" t="s">
        <v>269</v>
      </c>
      <c r="R389" s="13" t="s">
        <v>280</v>
      </c>
      <c r="S389" s="18" t="s">
        <v>360</v>
      </c>
      <c r="T389" s="18">
        <v>0</v>
      </c>
      <c r="U389" s="18"/>
      <c r="V389" s="18"/>
      <c r="W389" s="18">
        <f t="shared" si="10"/>
        <v>0</v>
      </c>
      <c r="X389" s="18"/>
      <c r="Y389" s="18"/>
      <c r="Z389" s="21"/>
    </row>
    <row r="390" spans="3:26">
      <c r="C390" s="48" t="s">
        <v>1222</v>
      </c>
      <c r="D390" s="48" t="s">
        <v>1222</v>
      </c>
      <c r="E390" s="18" t="s">
        <v>1217</v>
      </c>
      <c r="F390" s="499" t="s">
        <v>398</v>
      </c>
      <c r="G390" s="282"/>
      <c r="H390" s="519" t="s">
        <v>239</v>
      </c>
      <c r="I390" s="13" t="s">
        <v>249</v>
      </c>
      <c r="J390" s="34" t="s">
        <v>1126</v>
      </c>
      <c r="K390" s="16" t="s">
        <v>1213</v>
      </c>
      <c r="L390" s="16">
        <v>44.06</v>
      </c>
      <c r="M390" s="16">
        <v>44.06</v>
      </c>
      <c r="N390" s="196">
        <v>7</v>
      </c>
      <c r="P390" s="13" t="s">
        <v>268</v>
      </c>
      <c r="Q390" s="13" t="s">
        <v>269</v>
      </c>
      <c r="R390" s="13" t="s">
        <v>280</v>
      </c>
      <c r="S390" s="18" t="s">
        <v>360</v>
      </c>
      <c r="T390" s="18">
        <v>0</v>
      </c>
      <c r="U390" s="18"/>
      <c r="V390" s="18"/>
      <c r="W390" s="18">
        <f t="shared" si="10"/>
        <v>0</v>
      </c>
      <c r="X390" s="18"/>
      <c r="Y390" s="18"/>
      <c r="Z390" s="21"/>
    </row>
    <row r="391" spans="3:26">
      <c r="C391" s="48" t="s">
        <v>1222</v>
      </c>
      <c r="D391" s="48" t="s">
        <v>1222</v>
      </c>
      <c r="E391" s="18" t="s">
        <v>1217</v>
      </c>
      <c r="F391" s="499" t="s">
        <v>398</v>
      </c>
      <c r="G391" s="282"/>
      <c r="H391" s="519" t="s">
        <v>239</v>
      </c>
      <c r="I391" s="13" t="s">
        <v>355</v>
      </c>
      <c r="J391" s="506" t="s">
        <v>217</v>
      </c>
      <c r="K391" s="503"/>
      <c r="L391" s="507">
        <v>5.54</v>
      </c>
      <c r="M391" s="507">
        <v>5.54</v>
      </c>
      <c r="N391" s="505"/>
      <c r="O391" s="505"/>
      <c r="P391" s="13" t="s">
        <v>572</v>
      </c>
      <c r="Q391" s="13" t="s">
        <v>572</v>
      </c>
      <c r="R391" s="13" t="s">
        <v>573</v>
      </c>
      <c r="S391" s="18" t="s">
        <v>100</v>
      </c>
      <c r="T391" s="18">
        <v>0</v>
      </c>
      <c r="U391" s="18"/>
      <c r="V391" s="18"/>
      <c r="W391" s="18">
        <f t="shared" si="10"/>
        <v>0</v>
      </c>
      <c r="X391" s="18"/>
      <c r="Y391" s="18"/>
      <c r="Z391" s="21"/>
    </row>
    <row r="392" spans="3:26">
      <c r="C392" s="48" t="s">
        <v>1222</v>
      </c>
      <c r="D392" s="48" t="s">
        <v>1222</v>
      </c>
      <c r="E392" s="18" t="s">
        <v>1217</v>
      </c>
      <c r="F392" s="499" t="s">
        <v>398</v>
      </c>
      <c r="G392" s="282"/>
      <c r="H392" s="519" t="s">
        <v>239</v>
      </c>
      <c r="I392" s="13" t="s">
        <v>192</v>
      </c>
      <c r="J392" s="506" t="s">
        <v>367</v>
      </c>
      <c r="K392" s="503"/>
      <c r="L392" s="507">
        <v>9.0299999999999994</v>
      </c>
      <c r="M392" s="507">
        <v>9.0299999999999994</v>
      </c>
      <c r="N392" s="505"/>
      <c r="O392" s="505"/>
      <c r="P392" s="13" t="s">
        <v>572</v>
      </c>
      <c r="Q392" s="13" t="s">
        <v>572</v>
      </c>
      <c r="R392" s="13" t="s">
        <v>573</v>
      </c>
      <c r="S392" s="18" t="s">
        <v>100</v>
      </c>
      <c r="T392" s="18">
        <v>0</v>
      </c>
      <c r="U392" s="18"/>
      <c r="V392" s="18"/>
      <c r="W392" s="18">
        <f t="shared" si="10"/>
        <v>0</v>
      </c>
      <c r="X392" s="18"/>
      <c r="Y392" s="18"/>
      <c r="Z392" s="21"/>
    </row>
    <row r="393" spans="3:26">
      <c r="C393" s="48" t="s">
        <v>1222</v>
      </c>
      <c r="D393" s="48" t="s">
        <v>1222</v>
      </c>
      <c r="E393" s="18" t="s">
        <v>1217</v>
      </c>
      <c r="F393" s="499" t="s">
        <v>398</v>
      </c>
      <c r="G393" s="282"/>
      <c r="H393" s="519" t="s">
        <v>239</v>
      </c>
      <c r="I393" s="13" t="s">
        <v>192</v>
      </c>
      <c r="J393" s="506" t="s">
        <v>368</v>
      </c>
      <c r="K393" s="503"/>
      <c r="L393" s="507">
        <v>9.66</v>
      </c>
      <c r="M393" s="507">
        <v>9.66</v>
      </c>
      <c r="N393" s="505"/>
      <c r="O393" s="505"/>
      <c r="P393" s="13" t="s">
        <v>572</v>
      </c>
      <c r="Q393" s="13" t="s">
        <v>572</v>
      </c>
      <c r="R393" s="13" t="s">
        <v>573</v>
      </c>
      <c r="S393" s="18" t="s">
        <v>100</v>
      </c>
      <c r="T393" s="18">
        <v>0</v>
      </c>
      <c r="U393" s="18"/>
      <c r="V393" s="18"/>
      <c r="W393" s="18">
        <f t="shared" si="10"/>
        <v>0</v>
      </c>
      <c r="X393" s="18"/>
      <c r="Y393" s="18"/>
      <c r="Z393" s="21"/>
    </row>
    <row r="394" spans="3:26">
      <c r="C394" s="48" t="s">
        <v>1222</v>
      </c>
      <c r="D394" s="48" t="s">
        <v>1222</v>
      </c>
      <c r="E394" s="18" t="s">
        <v>1217</v>
      </c>
      <c r="F394" s="499" t="s">
        <v>398</v>
      </c>
      <c r="G394" s="282"/>
      <c r="H394" s="519" t="s">
        <v>239</v>
      </c>
      <c r="I394" s="13" t="s">
        <v>192</v>
      </c>
      <c r="J394" s="506" t="s">
        <v>406</v>
      </c>
      <c r="K394" s="503"/>
      <c r="L394" s="507">
        <v>3.29</v>
      </c>
      <c r="M394" s="507">
        <v>3.29</v>
      </c>
      <c r="N394" s="505"/>
      <c r="O394" s="505"/>
      <c r="P394" s="13" t="s">
        <v>572</v>
      </c>
      <c r="Q394" s="13" t="s">
        <v>572</v>
      </c>
      <c r="R394" s="13" t="s">
        <v>573</v>
      </c>
      <c r="S394" s="18" t="s">
        <v>100</v>
      </c>
      <c r="T394" s="18">
        <v>0</v>
      </c>
      <c r="U394" s="18"/>
      <c r="V394" s="18"/>
      <c r="W394" s="18">
        <f t="shared" si="10"/>
        <v>0</v>
      </c>
      <c r="X394" s="18"/>
      <c r="Y394" s="18"/>
      <c r="Z394" s="21"/>
    </row>
    <row r="395" spans="3:26">
      <c r="C395" s="48" t="s">
        <v>1222</v>
      </c>
      <c r="D395" s="48" t="s">
        <v>1222</v>
      </c>
      <c r="E395" s="18" t="s">
        <v>1217</v>
      </c>
      <c r="F395" s="499" t="s">
        <v>398</v>
      </c>
      <c r="G395" s="282"/>
      <c r="H395" s="519" t="s">
        <v>239</v>
      </c>
      <c r="I395" s="13" t="s">
        <v>355</v>
      </c>
      <c r="J395" s="506" t="s">
        <v>233</v>
      </c>
      <c r="K395" s="503"/>
      <c r="L395" s="507">
        <v>4.91</v>
      </c>
      <c r="M395" s="507">
        <v>4.91</v>
      </c>
      <c r="N395" s="505"/>
      <c r="O395" s="505"/>
      <c r="P395" s="13" t="s">
        <v>268</v>
      </c>
      <c r="Q395" s="13" t="s">
        <v>269</v>
      </c>
      <c r="R395" s="13" t="s">
        <v>459</v>
      </c>
      <c r="S395" s="18" t="s">
        <v>360</v>
      </c>
      <c r="T395" s="18">
        <v>0</v>
      </c>
      <c r="U395" s="18"/>
      <c r="V395" s="18"/>
      <c r="W395" s="18">
        <f t="shared" si="10"/>
        <v>0</v>
      </c>
      <c r="X395" s="18"/>
      <c r="Y395" s="18"/>
      <c r="Z395" s="21"/>
    </row>
    <row r="396" spans="3:26">
      <c r="C396" s="48" t="s">
        <v>1222</v>
      </c>
      <c r="D396" s="48" t="s">
        <v>1222</v>
      </c>
      <c r="E396" s="18" t="s">
        <v>1217</v>
      </c>
      <c r="F396" s="499" t="s">
        <v>398</v>
      </c>
      <c r="G396" s="282"/>
      <c r="H396" s="519" t="s">
        <v>241</v>
      </c>
      <c r="I396" s="13" t="s">
        <v>249</v>
      </c>
      <c r="J396" s="34" t="s">
        <v>1919</v>
      </c>
      <c r="K396" s="16" t="s">
        <v>427</v>
      </c>
      <c r="L396" s="16">
        <v>59.1</v>
      </c>
      <c r="M396" s="16">
        <v>59.1</v>
      </c>
      <c r="N396" s="196">
        <v>2</v>
      </c>
      <c r="P396" s="13" t="s">
        <v>268</v>
      </c>
      <c r="Q396" s="13" t="s">
        <v>269</v>
      </c>
      <c r="R396" s="13" t="s">
        <v>280</v>
      </c>
      <c r="S396" s="18" t="s">
        <v>360</v>
      </c>
      <c r="T396" s="18">
        <v>0</v>
      </c>
      <c r="U396" s="18"/>
      <c r="V396" s="18"/>
      <c r="W396" s="18">
        <f t="shared" si="10"/>
        <v>0</v>
      </c>
      <c r="X396" s="18"/>
      <c r="Y396" s="18"/>
      <c r="Z396" s="21"/>
    </row>
    <row r="397" spans="3:26">
      <c r="C397" s="48" t="s">
        <v>1222</v>
      </c>
      <c r="D397" s="48" t="s">
        <v>1222</v>
      </c>
      <c r="E397" s="18" t="s">
        <v>1217</v>
      </c>
      <c r="F397" s="499" t="s">
        <v>398</v>
      </c>
      <c r="G397" s="282"/>
      <c r="H397" s="519" t="s">
        <v>241</v>
      </c>
      <c r="I397" s="13" t="s">
        <v>249</v>
      </c>
      <c r="J397" s="34" t="s">
        <v>1915</v>
      </c>
      <c r="K397" s="16" t="s">
        <v>428</v>
      </c>
      <c r="L397" s="16">
        <v>59.43</v>
      </c>
      <c r="M397" s="16">
        <v>59.43</v>
      </c>
      <c r="N397" s="196">
        <v>10</v>
      </c>
      <c r="P397" s="13" t="s">
        <v>268</v>
      </c>
      <c r="Q397" s="13" t="s">
        <v>269</v>
      </c>
      <c r="R397" s="13" t="s">
        <v>280</v>
      </c>
      <c r="S397" s="18" t="s">
        <v>360</v>
      </c>
      <c r="T397" s="18">
        <v>0</v>
      </c>
      <c r="U397" s="18"/>
      <c r="V397" s="18"/>
      <c r="W397" s="18">
        <f t="shared" si="10"/>
        <v>0</v>
      </c>
      <c r="X397" s="18"/>
      <c r="Y397" s="18"/>
      <c r="Z397" s="21"/>
    </row>
    <row r="398" spans="3:26">
      <c r="C398" s="48" t="s">
        <v>1222</v>
      </c>
      <c r="D398" s="48" t="s">
        <v>1222</v>
      </c>
      <c r="E398" s="18" t="s">
        <v>1217</v>
      </c>
      <c r="F398" s="499" t="s">
        <v>398</v>
      </c>
      <c r="G398" s="282"/>
      <c r="H398" s="519" t="s">
        <v>241</v>
      </c>
      <c r="I398" s="13" t="s">
        <v>249</v>
      </c>
      <c r="J398" s="34" t="s">
        <v>1916</v>
      </c>
      <c r="K398" s="16" t="s">
        <v>429</v>
      </c>
      <c r="L398" s="16">
        <v>59.41</v>
      </c>
      <c r="M398" s="16">
        <v>59.41</v>
      </c>
      <c r="N398" s="196">
        <v>10</v>
      </c>
      <c r="P398" s="13" t="s">
        <v>268</v>
      </c>
      <c r="Q398" s="13" t="s">
        <v>269</v>
      </c>
      <c r="R398" s="13" t="s">
        <v>280</v>
      </c>
      <c r="S398" s="18" t="s">
        <v>360</v>
      </c>
      <c r="T398" s="18">
        <v>0</v>
      </c>
      <c r="U398" s="18"/>
      <c r="V398" s="18"/>
      <c r="W398" s="18">
        <f t="shared" si="10"/>
        <v>0</v>
      </c>
      <c r="X398" s="18"/>
      <c r="Y398" s="18"/>
      <c r="Z398" s="21"/>
    </row>
    <row r="399" spans="3:26">
      <c r="C399" s="48" t="s">
        <v>1222</v>
      </c>
      <c r="D399" s="48" t="s">
        <v>1222</v>
      </c>
      <c r="E399" s="18" t="s">
        <v>1217</v>
      </c>
      <c r="F399" s="499" t="s">
        <v>398</v>
      </c>
      <c r="G399" s="282"/>
      <c r="H399" s="519" t="s">
        <v>241</v>
      </c>
      <c r="I399" s="13" t="s">
        <v>249</v>
      </c>
      <c r="J399" s="34" t="s">
        <v>1880</v>
      </c>
      <c r="K399" s="16" t="s">
        <v>430</v>
      </c>
      <c r="L399" s="16">
        <v>44.11</v>
      </c>
      <c r="M399" s="16">
        <v>44.11</v>
      </c>
      <c r="N399" s="196">
        <v>7</v>
      </c>
      <c r="P399" s="13" t="s">
        <v>268</v>
      </c>
      <c r="Q399" s="13" t="s">
        <v>269</v>
      </c>
      <c r="R399" s="13" t="s">
        <v>280</v>
      </c>
      <c r="S399" s="18" t="s">
        <v>360</v>
      </c>
      <c r="T399" s="18">
        <v>0</v>
      </c>
      <c r="U399" s="18"/>
      <c r="V399" s="18"/>
      <c r="W399" s="18">
        <f t="shared" si="10"/>
        <v>0</v>
      </c>
      <c r="X399" s="18"/>
      <c r="Y399" s="18"/>
      <c r="Z399" s="21"/>
    </row>
    <row r="400" spans="3:26" ht="15" customHeight="1">
      <c r="C400" s="48" t="s">
        <v>1222</v>
      </c>
      <c r="D400" s="48" t="s">
        <v>1222</v>
      </c>
      <c r="E400" s="18" t="s">
        <v>1217</v>
      </c>
      <c r="F400" s="499" t="s">
        <v>398</v>
      </c>
      <c r="G400" s="282"/>
      <c r="H400" s="519" t="s">
        <v>241</v>
      </c>
      <c r="I400" s="13" t="s">
        <v>249</v>
      </c>
      <c r="J400" s="34" t="s">
        <v>1917</v>
      </c>
      <c r="K400" s="16" t="s">
        <v>431</v>
      </c>
      <c r="L400" s="16">
        <v>29.09</v>
      </c>
      <c r="M400" s="16">
        <v>29.09</v>
      </c>
      <c r="N400" s="196">
        <v>5</v>
      </c>
      <c r="P400" s="13" t="s">
        <v>268</v>
      </c>
      <c r="Q400" s="13" t="s">
        <v>269</v>
      </c>
      <c r="R400" s="13" t="s">
        <v>280</v>
      </c>
      <c r="S400" s="18" t="s">
        <v>360</v>
      </c>
      <c r="T400" s="18">
        <v>0</v>
      </c>
      <c r="U400" s="18"/>
      <c r="V400" s="18"/>
      <c r="W400" s="18">
        <f t="shared" si="10"/>
        <v>0</v>
      </c>
      <c r="X400" s="18"/>
      <c r="Y400" s="18"/>
      <c r="Z400" s="21"/>
    </row>
    <row r="401" spans="3:26" ht="19.5" customHeight="1">
      <c r="C401" s="48" t="s">
        <v>1222</v>
      </c>
      <c r="D401" s="48" t="s">
        <v>1222</v>
      </c>
      <c r="E401" s="18" t="s">
        <v>1217</v>
      </c>
      <c r="F401" s="499" t="s">
        <v>398</v>
      </c>
      <c r="G401" s="282"/>
      <c r="H401" s="519" t="s">
        <v>241</v>
      </c>
      <c r="I401" s="13" t="s">
        <v>249</v>
      </c>
      <c r="J401" s="34" t="s">
        <v>1918</v>
      </c>
      <c r="K401" s="16" t="s">
        <v>432</v>
      </c>
      <c r="L401" s="16">
        <v>29.13</v>
      </c>
      <c r="M401" s="16">
        <v>29.13</v>
      </c>
      <c r="N401" s="196">
        <v>5</v>
      </c>
      <c r="O401" s="512"/>
      <c r="P401" s="13" t="s">
        <v>268</v>
      </c>
      <c r="Q401" s="13" t="s">
        <v>269</v>
      </c>
      <c r="R401" s="13" t="s">
        <v>280</v>
      </c>
      <c r="S401" s="18" t="s">
        <v>360</v>
      </c>
      <c r="T401" s="18">
        <v>0</v>
      </c>
      <c r="U401" s="18"/>
      <c r="V401" s="18"/>
      <c r="W401" s="18">
        <f t="shared" si="10"/>
        <v>0</v>
      </c>
      <c r="X401" s="18"/>
      <c r="Y401" s="18"/>
      <c r="Z401" s="21"/>
    </row>
    <row r="402" spans="3:26">
      <c r="C402" s="48" t="s">
        <v>1222</v>
      </c>
      <c r="D402" s="48" t="s">
        <v>1222</v>
      </c>
      <c r="E402" s="18" t="s">
        <v>1217</v>
      </c>
      <c r="F402" s="499" t="s">
        <v>398</v>
      </c>
      <c r="G402" s="282"/>
      <c r="H402" s="519" t="s">
        <v>241</v>
      </c>
      <c r="I402" s="13" t="s">
        <v>249</v>
      </c>
      <c r="J402" s="34" t="s">
        <v>1658</v>
      </c>
      <c r="K402" s="16" t="s">
        <v>433</v>
      </c>
      <c r="L402" s="16">
        <v>44.09</v>
      </c>
      <c r="M402" s="16">
        <v>44.09</v>
      </c>
      <c r="N402" s="196">
        <v>7</v>
      </c>
      <c r="P402" s="13" t="s">
        <v>268</v>
      </c>
      <c r="Q402" s="13" t="s">
        <v>269</v>
      </c>
      <c r="R402" s="13" t="s">
        <v>280</v>
      </c>
      <c r="S402" s="18" t="s">
        <v>360</v>
      </c>
      <c r="T402" s="18">
        <v>0</v>
      </c>
      <c r="U402" s="18"/>
      <c r="V402" s="18"/>
      <c r="W402" s="18">
        <f t="shared" si="10"/>
        <v>0</v>
      </c>
      <c r="X402" s="18"/>
      <c r="Y402" s="18"/>
      <c r="Z402" s="21"/>
    </row>
    <row r="403" spans="3:26">
      <c r="C403" s="48" t="s">
        <v>1222</v>
      </c>
      <c r="D403" s="48" t="s">
        <v>1222</v>
      </c>
      <c r="E403" s="18" t="s">
        <v>1217</v>
      </c>
      <c r="F403" s="499" t="s">
        <v>398</v>
      </c>
      <c r="G403" s="282"/>
      <c r="H403" s="519" t="s">
        <v>241</v>
      </c>
      <c r="I403" s="13" t="s">
        <v>249</v>
      </c>
      <c r="J403" s="34" t="s">
        <v>1659</v>
      </c>
      <c r="K403" s="16" t="s">
        <v>434</v>
      </c>
      <c r="L403" s="16">
        <v>44.06</v>
      </c>
      <c r="M403" s="16">
        <v>44.06</v>
      </c>
      <c r="N403" s="196">
        <v>7</v>
      </c>
      <c r="P403" s="13" t="s">
        <v>268</v>
      </c>
      <c r="Q403" s="13" t="s">
        <v>269</v>
      </c>
      <c r="R403" s="13" t="s">
        <v>280</v>
      </c>
      <c r="S403" s="18" t="s">
        <v>360</v>
      </c>
      <c r="T403" s="18">
        <v>0</v>
      </c>
      <c r="U403" s="18"/>
      <c r="V403" s="18"/>
      <c r="W403" s="18">
        <f t="shared" si="10"/>
        <v>0</v>
      </c>
      <c r="X403" s="18"/>
      <c r="Y403" s="18"/>
      <c r="Z403" s="21"/>
    </row>
    <row r="404" spans="3:26">
      <c r="C404" s="48" t="s">
        <v>1222</v>
      </c>
      <c r="D404" s="48" t="s">
        <v>1222</v>
      </c>
      <c r="E404" s="18" t="s">
        <v>1217</v>
      </c>
      <c r="F404" s="499" t="s">
        <v>398</v>
      </c>
      <c r="G404" s="282"/>
      <c r="H404" s="519" t="s">
        <v>241</v>
      </c>
      <c r="I404" s="13" t="s">
        <v>355</v>
      </c>
      <c r="J404" s="506" t="s">
        <v>217</v>
      </c>
      <c r="K404" s="503"/>
      <c r="L404" s="507">
        <v>5.54</v>
      </c>
      <c r="M404" s="507">
        <v>5.54</v>
      </c>
      <c r="N404" s="505"/>
      <c r="O404" s="505"/>
      <c r="P404" s="13" t="s">
        <v>572</v>
      </c>
      <c r="Q404" s="13" t="s">
        <v>572</v>
      </c>
      <c r="R404" s="13" t="s">
        <v>573</v>
      </c>
      <c r="S404" s="18" t="s">
        <v>100</v>
      </c>
      <c r="T404" s="18">
        <v>0</v>
      </c>
      <c r="U404" s="18"/>
      <c r="V404" s="18"/>
      <c r="W404" s="18">
        <f t="shared" si="10"/>
        <v>0</v>
      </c>
      <c r="X404" s="18"/>
      <c r="Y404" s="18"/>
      <c r="Z404" s="21"/>
    </row>
    <row r="405" spans="3:26">
      <c r="C405" s="48" t="s">
        <v>1222</v>
      </c>
      <c r="D405" s="48" t="s">
        <v>1222</v>
      </c>
      <c r="E405" s="18" t="s">
        <v>1217</v>
      </c>
      <c r="F405" s="499" t="s">
        <v>398</v>
      </c>
      <c r="G405" s="282"/>
      <c r="H405" s="519" t="s">
        <v>241</v>
      </c>
      <c r="I405" s="13" t="s">
        <v>192</v>
      </c>
      <c r="J405" s="506" t="s">
        <v>367</v>
      </c>
      <c r="K405" s="503"/>
      <c r="L405" s="507">
        <v>9.0299999999999994</v>
      </c>
      <c r="M405" s="507">
        <v>9.0299999999999994</v>
      </c>
      <c r="N405" s="505"/>
      <c r="O405" s="505"/>
      <c r="P405" s="13" t="s">
        <v>572</v>
      </c>
      <c r="Q405" s="13" t="s">
        <v>572</v>
      </c>
      <c r="R405" s="13" t="s">
        <v>573</v>
      </c>
      <c r="S405" s="18" t="s">
        <v>100</v>
      </c>
      <c r="T405" s="18">
        <v>0</v>
      </c>
      <c r="U405" s="18"/>
      <c r="V405" s="18"/>
      <c r="W405" s="18">
        <f t="shared" si="10"/>
        <v>0</v>
      </c>
      <c r="X405" s="18"/>
      <c r="Y405" s="18"/>
      <c r="Z405" s="21"/>
    </row>
    <row r="406" spans="3:26">
      <c r="C406" s="48" t="s">
        <v>1222</v>
      </c>
      <c r="D406" s="48" t="s">
        <v>1222</v>
      </c>
      <c r="E406" s="18" t="s">
        <v>1217</v>
      </c>
      <c r="F406" s="499" t="s">
        <v>398</v>
      </c>
      <c r="G406" s="282"/>
      <c r="H406" s="519" t="s">
        <v>241</v>
      </c>
      <c r="I406" s="13" t="s">
        <v>192</v>
      </c>
      <c r="J406" s="506" t="s">
        <v>368</v>
      </c>
      <c r="K406" s="503"/>
      <c r="L406" s="507">
        <v>9.66</v>
      </c>
      <c r="M406" s="507">
        <v>9.66</v>
      </c>
      <c r="N406" s="505"/>
      <c r="O406" s="505"/>
      <c r="P406" s="13" t="s">
        <v>572</v>
      </c>
      <c r="Q406" s="13" t="s">
        <v>572</v>
      </c>
      <c r="R406" s="13" t="s">
        <v>573</v>
      </c>
      <c r="S406" s="18" t="s">
        <v>100</v>
      </c>
      <c r="T406" s="18">
        <v>0</v>
      </c>
      <c r="U406" s="18"/>
      <c r="V406" s="18"/>
      <c r="W406" s="18">
        <f t="shared" si="10"/>
        <v>0</v>
      </c>
      <c r="X406" s="18"/>
      <c r="Y406" s="18"/>
      <c r="Z406" s="21"/>
    </row>
    <row r="407" spans="3:26">
      <c r="C407" s="48" t="s">
        <v>1222</v>
      </c>
      <c r="D407" s="48" t="s">
        <v>1222</v>
      </c>
      <c r="E407" s="18" t="s">
        <v>1217</v>
      </c>
      <c r="F407" s="499" t="s">
        <v>398</v>
      </c>
      <c r="G407" s="282"/>
      <c r="H407" s="519" t="s">
        <v>241</v>
      </c>
      <c r="I407" s="13" t="s">
        <v>192</v>
      </c>
      <c r="J407" s="506" t="s">
        <v>406</v>
      </c>
      <c r="K407" s="503"/>
      <c r="L407" s="507">
        <v>3.29</v>
      </c>
      <c r="M407" s="507">
        <v>3.29</v>
      </c>
      <c r="N407" s="505"/>
      <c r="O407" s="505"/>
      <c r="P407" s="13" t="s">
        <v>572</v>
      </c>
      <c r="Q407" s="13" t="s">
        <v>572</v>
      </c>
      <c r="R407" s="13" t="s">
        <v>573</v>
      </c>
      <c r="S407" s="18" t="s">
        <v>100</v>
      </c>
      <c r="T407" s="18">
        <v>0</v>
      </c>
      <c r="U407" s="18"/>
      <c r="V407" s="18"/>
      <c r="W407" s="18">
        <f t="shared" si="10"/>
        <v>0</v>
      </c>
      <c r="X407" s="18"/>
      <c r="Y407" s="18"/>
      <c r="Z407" s="21"/>
    </row>
    <row r="408" spans="3:26">
      <c r="C408" s="48" t="s">
        <v>1222</v>
      </c>
      <c r="D408" s="48" t="s">
        <v>1222</v>
      </c>
      <c r="E408" s="18" t="s">
        <v>1217</v>
      </c>
      <c r="F408" s="499" t="s">
        <v>398</v>
      </c>
      <c r="G408" s="282"/>
      <c r="H408" s="519" t="s">
        <v>241</v>
      </c>
      <c r="I408" s="13" t="s">
        <v>355</v>
      </c>
      <c r="J408" s="506" t="s">
        <v>233</v>
      </c>
      <c r="K408" s="503"/>
      <c r="L408" s="507">
        <v>4.91</v>
      </c>
      <c r="M408" s="507">
        <v>4.91</v>
      </c>
      <c r="N408" s="505"/>
      <c r="O408" s="505"/>
      <c r="P408" s="13" t="s">
        <v>268</v>
      </c>
      <c r="Q408" s="13" t="s">
        <v>269</v>
      </c>
      <c r="R408" s="13" t="s">
        <v>459</v>
      </c>
      <c r="S408" s="18" t="s">
        <v>360</v>
      </c>
      <c r="T408" s="18">
        <v>0</v>
      </c>
      <c r="U408" s="18"/>
      <c r="V408" s="18"/>
      <c r="W408" s="18">
        <f t="shared" si="10"/>
        <v>0</v>
      </c>
      <c r="X408" s="18"/>
      <c r="Y408" s="18"/>
      <c r="Z408" s="21"/>
    </row>
    <row r="409" spans="3:26">
      <c r="C409" s="48" t="s">
        <v>1222</v>
      </c>
      <c r="D409" s="48" t="s">
        <v>1222</v>
      </c>
      <c r="E409" s="18" t="s">
        <v>1217</v>
      </c>
      <c r="F409" s="499" t="s">
        <v>398</v>
      </c>
      <c r="G409" s="282"/>
      <c r="H409" s="519" t="s">
        <v>242</v>
      </c>
      <c r="I409" s="13" t="s">
        <v>249</v>
      </c>
      <c r="J409" s="34" t="s">
        <v>1660</v>
      </c>
      <c r="K409" s="16" t="s">
        <v>435</v>
      </c>
      <c r="L409" s="16">
        <v>43.81</v>
      </c>
      <c r="M409" s="16">
        <v>43.81</v>
      </c>
      <c r="N409" s="196">
        <v>7</v>
      </c>
      <c r="P409" s="13" t="s">
        <v>268</v>
      </c>
      <c r="Q409" s="13" t="s">
        <v>269</v>
      </c>
      <c r="R409" s="13" t="s">
        <v>280</v>
      </c>
      <c r="S409" s="18" t="s">
        <v>360</v>
      </c>
      <c r="T409" s="18">
        <v>0</v>
      </c>
      <c r="U409" s="18"/>
      <c r="V409" s="18"/>
      <c r="W409" s="18">
        <f t="shared" si="10"/>
        <v>0</v>
      </c>
      <c r="X409" s="18"/>
      <c r="Y409" s="18"/>
      <c r="Z409" s="21"/>
    </row>
    <row r="410" spans="3:26">
      <c r="C410" s="48" t="s">
        <v>1222</v>
      </c>
      <c r="D410" s="48" t="s">
        <v>1222</v>
      </c>
      <c r="E410" s="18" t="s">
        <v>1217</v>
      </c>
      <c r="F410" s="499" t="s">
        <v>398</v>
      </c>
      <c r="G410" s="282"/>
      <c r="H410" s="519" t="s">
        <v>242</v>
      </c>
      <c r="I410" s="13" t="s">
        <v>249</v>
      </c>
      <c r="J410" s="60" t="s">
        <v>705</v>
      </c>
      <c r="K410" s="16" t="s">
        <v>436</v>
      </c>
      <c r="L410" s="16">
        <v>28.86</v>
      </c>
      <c r="M410" s="16">
        <v>28.86</v>
      </c>
      <c r="N410" s="196">
        <v>5</v>
      </c>
      <c r="P410" s="13" t="s">
        <v>268</v>
      </c>
      <c r="Q410" s="13" t="s">
        <v>269</v>
      </c>
      <c r="R410" s="13" t="s">
        <v>280</v>
      </c>
      <c r="S410" s="18" t="s">
        <v>360</v>
      </c>
      <c r="T410" s="18">
        <v>0</v>
      </c>
      <c r="U410" s="18"/>
      <c r="V410" s="18"/>
      <c r="W410" s="18">
        <f t="shared" si="10"/>
        <v>0</v>
      </c>
      <c r="X410" s="18"/>
      <c r="Y410" s="18"/>
      <c r="Z410" s="21"/>
    </row>
    <row r="411" spans="3:26">
      <c r="C411" s="48" t="s">
        <v>1222</v>
      </c>
      <c r="D411" s="48" t="s">
        <v>1222</v>
      </c>
      <c r="E411" s="18" t="s">
        <v>1217</v>
      </c>
      <c r="F411" s="499" t="s">
        <v>398</v>
      </c>
      <c r="G411" s="282"/>
      <c r="H411" s="519" t="s">
        <v>242</v>
      </c>
      <c r="I411" s="13" t="s">
        <v>249</v>
      </c>
      <c r="J411" s="34" t="s">
        <v>1661</v>
      </c>
      <c r="K411" s="16" t="s">
        <v>437</v>
      </c>
      <c r="L411" s="16">
        <v>28.83</v>
      </c>
      <c r="M411" s="16">
        <v>28.83</v>
      </c>
      <c r="N411" s="196">
        <v>5</v>
      </c>
      <c r="P411" s="13" t="s">
        <v>268</v>
      </c>
      <c r="Q411" s="13" t="s">
        <v>269</v>
      </c>
      <c r="R411" s="13" t="s">
        <v>280</v>
      </c>
      <c r="S411" s="18" t="s">
        <v>360</v>
      </c>
      <c r="T411" s="18">
        <v>0</v>
      </c>
      <c r="U411" s="18"/>
      <c r="V411" s="18"/>
      <c r="W411" s="18">
        <f t="shared" si="10"/>
        <v>0</v>
      </c>
      <c r="X411" s="18"/>
      <c r="Y411" s="18"/>
      <c r="Z411" s="21"/>
    </row>
    <row r="412" spans="3:26">
      <c r="C412" s="48" t="s">
        <v>1222</v>
      </c>
      <c r="D412" s="48" t="s">
        <v>1222</v>
      </c>
      <c r="E412" s="18" t="s">
        <v>1217</v>
      </c>
      <c r="F412" s="499" t="s">
        <v>398</v>
      </c>
      <c r="G412" s="282"/>
      <c r="H412" s="519" t="s">
        <v>242</v>
      </c>
      <c r="I412" s="13" t="s">
        <v>249</v>
      </c>
      <c r="J412" s="34" t="s">
        <v>1662</v>
      </c>
      <c r="K412" s="16" t="s">
        <v>438</v>
      </c>
      <c r="L412" s="16">
        <v>58.83</v>
      </c>
      <c r="M412" s="16">
        <v>58.83</v>
      </c>
      <c r="N412" s="196">
        <v>10</v>
      </c>
      <c r="P412" s="13" t="s">
        <v>268</v>
      </c>
      <c r="Q412" s="13" t="s">
        <v>269</v>
      </c>
      <c r="R412" s="13" t="s">
        <v>280</v>
      </c>
      <c r="S412" s="18" t="s">
        <v>360</v>
      </c>
      <c r="T412" s="18">
        <v>0</v>
      </c>
      <c r="U412" s="18"/>
      <c r="V412" s="18"/>
      <c r="W412" s="18">
        <f t="shared" si="10"/>
        <v>0</v>
      </c>
      <c r="X412" s="18"/>
      <c r="Y412" s="18"/>
      <c r="Z412" s="21"/>
    </row>
    <row r="413" spans="3:26">
      <c r="C413" s="48" t="s">
        <v>1222</v>
      </c>
      <c r="D413" s="48" t="s">
        <v>1222</v>
      </c>
      <c r="E413" s="18" t="s">
        <v>1217</v>
      </c>
      <c r="F413" s="499" t="s">
        <v>398</v>
      </c>
      <c r="G413" s="282"/>
      <c r="H413" s="519" t="s">
        <v>242</v>
      </c>
      <c r="I413" s="13" t="s">
        <v>249</v>
      </c>
      <c r="J413" s="34" t="s">
        <v>1663</v>
      </c>
      <c r="K413" s="16" t="s">
        <v>439</v>
      </c>
      <c r="L413" s="16">
        <v>28.83</v>
      </c>
      <c r="M413" s="16">
        <v>28.83</v>
      </c>
      <c r="N413" s="196">
        <v>5</v>
      </c>
      <c r="P413" s="13" t="s">
        <v>268</v>
      </c>
      <c r="Q413" s="13" t="s">
        <v>269</v>
      </c>
      <c r="R413" s="13" t="s">
        <v>280</v>
      </c>
      <c r="S413" s="18" t="s">
        <v>360</v>
      </c>
      <c r="T413" s="18">
        <v>0</v>
      </c>
      <c r="U413" s="18"/>
      <c r="V413" s="18"/>
      <c r="W413" s="18">
        <f t="shared" si="10"/>
        <v>0</v>
      </c>
      <c r="X413" s="18"/>
      <c r="Y413" s="18"/>
      <c r="Z413" s="21"/>
    </row>
    <row r="414" spans="3:26">
      <c r="C414" s="48" t="s">
        <v>1222</v>
      </c>
      <c r="D414" s="48" t="s">
        <v>1222</v>
      </c>
      <c r="E414" s="18" t="s">
        <v>1217</v>
      </c>
      <c r="F414" s="499" t="s">
        <v>398</v>
      </c>
      <c r="G414" s="282"/>
      <c r="H414" s="519" t="s">
        <v>242</v>
      </c>
      <c r="I414" s="13" t="s">
        <v>249</v>
      </c>
      <c r="J414" s="34" t="s">
        <v>1664</v>
      </c>
      <c r="K414" s="16" t="s">
        <v>440</v>
      </c>
      <c r="L414" s="16">
        <v>28.83</v>
      </c>
      <c r="M414" s="16">
        <v>28.83</v>
      </c>
      <c r="N414" s="196">
        <v>5</v>
      </c>
      <c r="P414" s="13" t="s">
        <v>268</v>
      </c>
      <c r="Q414" s="13" t="s">
        <v>269</v>
      </c>
      <c r="R414" s="13" t="s">
        <v>280</v>
      </c>
      <c r="S414" s="18" t="s">
        <v>360</v>
      </c>
      <c r="T414" s="18">
        <v>0</v>
      </c>
      <c r="U414" s="18"/>
      <c r="V414" s="18"/>
      <c r="W414" s="18">
        <f t="shared" si="10"/>
        <v>0</v>
      </c>
      <c r="X414" s="18"/>
      <c r="Y414" s="18"/>
      <c r="Z414" s="21"/>
    </row>
    <row r="415" spans="3:26">
      <c r="C415" s="48" t="s">
        <v>1222</v>
      </c>
      <c r="D415" s="48" t="s">
        <v>1222</v>
      </c>
      <c r="E415" s="18" t="s">
        <v>1217</v>
      </c>
      <c r="F415" s="499" t="s">
        <v>398</v>
      </c>
      <c r="G415" s="282"/>
      <c r="H415" s="519" t="s">
        <v>242</v>
      </c>
      <c r="I415" s="13" t="s">
        <v>249</v>
      </c>
      <c r="J415" s="34" t="s">
        <v>1665</v>
      </c>
      <c r="K415" s="16" t="s">
        <v>441</v>
      </c>
      <c r="L415" s="16">
        <v>58.75</v>
      </c>
      <c r="M415" s="16">
        <v>58.75</v>
      </c>
      <c r="N415" s="196">
        <v>10</v>
      </c>
      <c r="P415" s="13" t="s">
        <v>268</v>
      </c>
      <c r="Q415" s="13" t="s">
        <v>269</v>
      </c>
      <c r="R415" s="13" t="s">
        <v>280</v>
      </c>
      <c r="S415" s="18" t="s">
        <v>360</v>
      </c>
      <c r="T415" s="18">
        <v>0</v>
      </c>
      <c r="U415" s="18"/>
      <c r="V415" s="18"/>
      <c r="W415" s="18">
        <f t="shared" si="10"/>
        <v>0</v>
      </c>
      <c r="X415" s="18"/>
      <c r="Y415" s="18"/>
      <c r="Z415" s="21"/>
    </row>
    <row r="416" spans="3:26">
      <c r="C416" s="48" t="s">
        <v>1222</v>
      </c>
      <c r="D416" s="48" t="s">
        <v>1222</v>
      </c>
      <c r="E416" s="18" t="s">
        <v>1217</v>
      </c>
      <c r="F416" s="499" t="s">
        <v>398</v>
      </c>
      <c r="G416" s="282"/>
      <c r="H416" s="519" t="s">
        <v>242</v>
      </c>
      <c r="I416" s="13" t="s">
        <v>249</v>
      </c>
      <c r="J416" s="34" t="s">
        <v>1666</v>
      </c>
      <c r="K416" s="16" t="s">
        <v>442</v>
      </c>
      <c r="L416" s="16">
        <v>58.75</v>
      </c>
      <c r="M416" s="16">
        <v>58.75</v>
      </c>
      <c r="N416" s="196">
        <v>10</v>
      </c>
      <c r="P416" s="13" t="s">
        <v>268</v>
      </c>
      <c r="Q416" s="13" t="s">
        <v>269</v>
      </c>
      <c r="R416" s="13" t="s">
        <v>280</v>
      </c>
      <c r="S416" s="18" t="s">
        <v>360</v>
      </c>
      <c r="T416" s="18">
        <v>0</v>
      </c>
      <c r="U416" s="18"/>
      <c r="V416" s="18"/>
      <c r="W416" s="18">
        <f t="shared" si="10"/>
        <v>0</v>
      </c>
      <c r="X416" s="18"/>
      <c r="Y416" s="18"/>
      <c r="Z416" s="21"/>
    </row>
    <row r="417" spans="1:26">
      <c r="C417" s="48" t="s">
        <v>1222</v>
      </c>
      <c r="D417" s="48" t="s">
        <v>1222</v>
      </c>
      <c r="E417" s="18" t="s">
        <v>1217</v>
      </c>
      <c r="F417" s="499" t="s">
        <v>398</v>
      </c>
      <c r="G417" s="282"/>
      <c r="H417" s="519" t="s">
        <v>242</v>
      </c>
      <c r="I417" s="13" t="s">
        <v>1364</v>
      </c>
      <c r="J417" s="34" t="s">
        <v>1667</v>
      </c>
      <c r="K417" s="16" t="s">
        <v>443</v>
      </c>
      <c r="L417" s="16">
        <v>28.79</v>
      </c>
      <c r="M417" s="16">
        <v>28.79</v>
      </c>
      <c r="N417" s="196">
        <v>5</v>
      </c>
      <c r="P417" s="13" t="s">
        <v>268</v>
      </c>
      <c r="Q417" s="13" t="s">
        <v>269</v>
      </c>
      <c r="R417" s="13" t="s">
        <v>280</v>
      </c>
      <c r="S417" s="18" t="s">
        <v>360</v>
      </c>
      <c r="T417" s="18">
        <v>0</v>
      </c>
      <c r="U417" s="18"/>
      <c r="V417" s="18"/>
      <c r="W417" s="18">
        <f t="shared" si="10"/>
        <v>0</v>
      </c>
      <c r="X417" s="18"/>
      <c r="Y417" s="18"/>
      <c r="Z417" s="21"/>
    </row>
    <row r="418" spans="1:26">
      <c r="C418" s="48" t="s">
        <v>1222</v>
      </c>
      <c r="D418" s="48" t="s">
        <v>1222</v>
      </c>
      <c r="E418" s="18" t="s">
        <v>1217</v>
      </c>
      <c r="F418" s="499" t="s">
        <v>398</v>
      </c>
      <c r="G418" s="282"/>
      <c r="H418" s="519" t="s">
        <v>242</v>
      </c>
      <c r="I418" s="13" t="s">
        <v>355</v>
      </c>
      <c r="J418" s="506" t="s">
        <v>217</v>
      </c>
      <c r="K418" s="503"/>
      <c r="L418" s="507">
        <v>5.54</v>
      </c>
      <c r="M418" s="507">
        <v>5.54</v>
      </c>
      <c r="N418" s="505"/>
      <c r="O418" s="505"/>
      <c r="P418" s="13" t="s">
        <v>572</v>
      </c>
      <c r="Q418" s="13" t="s">
        <v>572</v>
      </c>
      <c r="R418" s="13" t="s">
        <v>573</v>
      </c>
      <c r="S418" s="15" t="s">
        <v>100</v>
      </c>
      <c r="T418" s="18">
        <v>0</v>
      </c>
      <c r="U418" s="18"/>
      <c r="V418" s="18"/>
      <c r="W418" s="18">
        <f t="shared" si="10"/>
        <v>0</v>
      </c>
      <c r="X418" s="18"/>
      <c r="Y418" s="18"/>
      <c r="Z418" s="21"/>
    </row>
    <row r="419" spans="1:26">
      <c r="C419" s="48" t="s">
        <v>1222</v>
      </c>
      <c r="D419" s="48" t="s">
        <v>1222</v>
      </c>
      <c r="E419" s="18" t="s">
        <v>1217</v>
      </c>
      <c r="F419" s="499" t="s">
        <v>398</v>
      </c>
      <c r="G419" s="282"/>
      <c r="H419" s="519" t="s">
        <v>242</v>
      </c>
      <c r="I419" s="13" t="s">
        <v>192</v>
      </c>
      <c r="J419" s="506" t="s">
        <v>367</v>
      </c>
      <c r="K419" s="503"/>
      <c r="L419" s="507">
        <v>9.0299999999999994</v>
      </c>
      <c r="M419" s="507">
        <v>9.0299999999999994</v>
      </c>
      <c r="N419" s="505"/>
      <c r="O419" s="505"/>
      <c r="P419" s="13" t="s">
        <v>572</v>
      </c>
      <c r="Q419" s="13" t="s">
        <v>572</v>
      </c>
      <c r="R419" s="13" t="s">
        <v>573</v>
      </c>
      <c r="S419" s="15" t="s">
        <v>100</v>
      </c>
      <c r="T419" s="18">
        <v>0</v>
      </c>
      <c r="U419" s="18"/>
      <c r="V419" s="18"/>
      <c r="W419" s="18">
        <f t="shared" si="10"/>
        <v>0</v>
      </c>
      <c r="X419" s="18"/>
      <c r="Y419" s="18"/>
      <c r="Z419" s="21"/>
    </row>
    <row r="420" spans="1:26">
      <c r="C420" s="48" t="s">
        <v>1222</v>
      </c>
      <c r="D420" s="48" t="s">
        <v>1222</v>
      </c>
      <c r="E420" s="18" t="s">
        <v>1217</v>
      </c>
      <c r="F420" s="499" t="s">
        <v>398</v>
      </c>
      <c r="G420" s="282"/>
      <c r="H420" s="519" t="s">
        <v>242</v>
      </c>
      <c r="I420" s="13" t="s">
        <v>192</v>
      </c>
      <c r="J420" s="506" t="s">
        <v>368</v>
      </c>
      <c r="K420" s="503"/>
      <c r="L420" s="507">
        <v>9.66</v>
      </c>
      <c r="M420" s="507">
        <v>9.66</v>
      </c>
      <c r="N420" s="505"/>
      <c r="O420" s="505"/>
      <c r="P420" s="13" t="s">
        <v>572</v>
      </c>
      <c r="Q420" s="13" t="s">
        <v>572</v>
      </c>
      <c r="R420" s="13" t="s">
        <v>573</v>
      </c>
      <c r="S420" s="15" t="s">
        <v>100</v>
      </c>
      <c r="T420" s="18">
        <v>0</v>
      </c>
      <c r="U420" s="18"/>
      <c r="V420" s="18"/>
      <c r="W420" s="18">
        <f t="shared" ref="W420:W493" si="11">AVERAGE(T420:V420)</f>
        <v>0</v>
      </c>
      <c r="X420" s="18"/>
      <c r="Y420" s="18"/>
      <c r="Z420" s="21"/>
    </row>
    <row r="421" spans="1:26">
      <c r="C421" s="48" t="s">
        <v>1222</v>
      </c>
      <c r="D421" s="48" t="s">
        <v>1222</v>
      </c>
      <c r="E421" s="18" t="s">
        <v>1217</v>
      </c>
      <c r="F421" s="499" t="s">
        <v>398</v>
      </c>
      <c r="G421" s="282"/>
      <c r="H421" s="519" t="s">
        <v>242</v>
      </c>
      <c r="I421" s="13" t="s">
        <v>192</v>
      </c>
      <c r="J421" s="506" t="s">
        <v>406</v>
      </c>
      <c r="K421" s="503"/>
      <c r="L421" s="507">
        <v>3.29</v>
      </c>
      <c r="M421" s="507">
        <v>3.29</v>
      </c>
      <c r="N421" s="505"/>
      <c r="O421" s="505"/>
      <c r="P421" s="13" t="s">
        <v>572</v>
      </c>
      <c r="Q421" s="13" t="s">
        <v>572</v>
      </c>
      <c r="R421" s="13" t="s">
        <v>573</v>
      </c>
      <c r="S421" s="15" t="s">
        <v>100</v>
      </c>
      <c r="T421" s="18">
        <v>0</v>
      </c>
      <c r="U421" s="18"/>
      <c r="V421" s="18"/>
      <c r="W421" s="18">
        <f t="shared" si="11"/>
        <v>0</v>
      </c>
      <c r="X421" s="18"/>
      <c r="Y421" s="18"/>
      <c r="Z421" s="21"/>
    </row>
    <row r="422" spans="1:26">
      <c r="C422" s="48" t="s">
        <v>1222</v>
      </c>
      <c r="D422" s="48" t="s">
        <v>1222</v>
      </c>
      <c r="E422" s="18" t="s">
        <v>1217</v>
      </c>
      <c r="F422" s="499" t="s">
        <v>398</v>
      </c>
      <c r="G422" s="282"/>
      <c r="H422" s="519" t="s">
        <v>242</v>
      </c>
      <c r="I422" s="13" t="s">
        <v>355</v>
      </c>
      <c r="J422" s="506" t="s">
        <v>233</v>
      </c>
      <c r="K422" s="503"/>
      <c r="L422" s="507">
        <v>4.91</v>
      </c>
      <c r="M422" s="507">
        <v>4.91</v>
      </c>
      <c r="N422" s="505"/>
      <c r="O422" s="505"/>
      <c r="P422" s="13" t="s">
        <v>268</v>
      </c>
      <c r="Q422" s="13" t="s">
        <v>269</v>
      </c>
      <c r="R422" s="13" t="s">
        <v>459</v>
      </c>
      <c r="S422" s="18" t="s">
        <v>360</v>
      </c>
      <c r="T422" s="18">
        <v>0</v>
      </c>
      <c r="U422" s="18"/>
      <c r="V422" s="18"/>
      <c r="W422" s="18">
        <f t="shared" si="11"/>
        <v>0</v>
      </c>
      <c r="X422" s="18"/>
      <c r="Y422" s="18"/>
      <c r="Z422" s="21"/>
    </row>
    <row r="423" spans="1:26">
      <c r="A423">
        <f>SUM(L348:L423)</f>
        <v>3115.8799999999987</v>
      </c>
      <c r="C423" s="48" t="s">
        <v>1222</v>
      </c>
      <c r="D423" s="48" t="s">
        <v>1222</v>
      </c>
      <c r="E423" s="18" t="s">
        <v>1217</v>
      </c>
      <c r="F423" s="499" t="s">
        <v>398</v>
      </c>
      <c r="G423" s="282"/>
      <c r="H423" s="510" t="s">
        <v>194</v>
      </c>
      <c r="I423" s="39" t="s">
        <v>194</v>
      </c>
      <c r="J423" s="506" t="s">
        <v>194</v>
      </c>
      <c r="K423" s="503"/>
      <c r="L423" s="509">
        <v>742.83</v>
      </c>
      <c r="M423" s="509">
        <v>742.83</v>
      </c>
      <c r="N423" s="505"/>
      <c r="O423" s="505"/>
      <c r="P423" s="13" t="s">
        <v>268</v>
      </c>
      <c r="Q423" s="13" t="s">
        <v>269</v>
      </c>
      <c r="R423" s="32" t="s">
        <v>460</v>
      </c>
      <c r="S423" s="15" t="s">
        <v>360</v>
      </c>
      <c r="T423" s="18">
        <v>0</v>
      </c>
      <c r="U423" s="18"/>
      <c r="V423" s="18"/>
      <c r="W423" s="18">
        <f t="shared" si="11"/>
        <v>0</v>
      </c>
      <c r="X423" s="18"/>
      <c r="Y423" s="18"/>
      <c r="Z423" s="21"/>
    </row>
    <row r="424" spans="1:26">
      <c r="C424" s="48" t="s">
        <v>1222</v>
      </c>
      <c r="D424" s="48" t="s">
        <v>1222</v>
      </c>
      <c r="E424" s="18" t="s">
        <v>1217</v>
      </c>
      <c r="F424" s="513" t="s">
        <v>444</v>
      </c>
      <c r="G424" s="284"/>
      <c r="H424" s="285" t="s">
        <v>219</v>
      </c>
      <c r="I424" s="39" t="s">
        <v>194</v>
      </c>
      <c r="J424" s="502" t="s">
        <v>454</v>
      </c>
      <c r="K424" s="507"/>
      <c r="L424" s="509">
        <v>105.28</v>
      </c>
      <c r="M424" s="509">
        <v>105.28</v>
      </c>
      <c r="N424" s="505"/>
      <c r="O424" s="505"/>
      <c r="P424" s="13" t="s">
        <v>268</v>
      </c>
      <c r="Q424" s="13" t="s">
        <v>269</v>
      </c>
      <c r="R424" s="13" t="s">
        <v>456</v>
      </c>
      <c r="S424" s="18" t="s">
        <v>360</v>
      </c>
      <c r="T424" s="18">
        <v>0</v>
      </c>
      <c r="U424" s="18"/>
      <c r="V424" s="18"/>
      <c r="W424" s="18">
        <f t="shared" si="11"/>
        <v>0</v>
      </c>
      <c r="X424" s="18"/>
      <c r="Y424" s="18"/>
      <c r="Z424" s="275" t="e">
        <f>SUM(#REF!)</f>
        <v>#REF!</v>
      </c>
    </row>
    <row r="425" spans="1:26">
      <c r="B425" s="2"/>
      <c r="C425" s="48" t="s">
        <v>1222</v>
      </c>
      <c r="D425" s="48" t="s">
        <v>1222</v>
      </c>
      <c r="E425" s="18" t="s">
        <v>1217</v>
      </c>
      <c r="F425" s="513" t="s">
        <v>444</v>
      </c>
      <c r="G425" s="284"/>
      <c r="H425" s="285" t="s">
        <v>219</v>
      </c>
      <c r="I425" s="39" t="s">
        <v>194</v>
      </c>
      <c r="J425" s="502" t="s">
        <v>455</v>
      </c>
      <c r="K425" s="507"/>
      <c r="L425" s="509">
        <v>27.2</v>
      </c>
      <c r="M425" s="509">
        <v>27.2</v>
      </c>
      <c r="N425" s="505"/>
      <c r="O425" s="505"/>
      <c r="P425" s="13" t="s">
        <v>268</v>
      </c>
      <c r="Q425" s="13" t="s">
        <v>269</v>
      </c>
      <c r="R425" s="13" t="s">
        <v>459</v>
      </c>
      <c r="S425" s="18" t="s">
        <v>360</v>
      </c>
      <c r="T425" s="18">
        <v>0</v>
      </c>
      <c r="U425" s="18"/>
      <c r="V425" s="18"/>
      <c r="W425" s="18">
        <f t="shared" si="11"/>
        <v>0</v>
      </c>
      <c r="X425" s="18"/>
      <c r="Y425" s="18"/>
      <c r="Z425" s="275"/>
    </row>
    <row r="426" spans="1:26">
      <c r="C426" s="48" t="s">
        <v>1222</v>
      </c>
      <c r="D426" s="48" t="s">
        <v>1222</v>
      </c>
      <c r="E426" s="18" t="s">
        <v>1217</v>
      </c>
      <c r="F426" s="513" t="s">
        <v>444</v>
      </c>
      <c r="G426" s="284"/>
      <c r="H426" s="285" t="s">
        <v>219</v>
      </c>
      <c r="I426" s="13" t="s">
        <v>192</v>
      </c>
      <c r="J426" s="502" t="s">
        <v>261</v>
      </c>
      <c r="K426" s="507"/>
      <c r="L426" s="509">
        <v>11.61</v>
      </c>
      <c r="M426" s="509">
        <v>11.61</v>
      </c>
      <c r="N426" s="505"/>
      <c r="O426" s="505"/>
      <c r="P426" s="13" t="s">
        <v>572</v>
      </c>
      <c r="Q426" s="13" t="s">
        <v>572</v>
      </c>
      <c r="R426" s="13" t="s">
        <v>459</v>
      </c>
      <c r="S426" s="18" t="s">
        <v>100</v>
      </c>
      <c r="T426" s="18">
        <v>0</v>
      </c>
      <c r="U426" s="18"/>
      <c r="V426" s="18"/>
      <c r="W426" s="18">
        <f t="shared" si="11"/>
        <v>0</v>
      </c>
      <c r="X426" s="18"/>
      <c r="Y426" s="18"/>
      <c r="Z426" s="275"/>
    </row>
    <row r="427" spans="1:26">
      <c r="C427" s="48" t="s">
        <v>1222</v>
      </c>
      <c r="D427" s="48" t="s">
        <v>1222</v>
      </c>
      <c r="E427" s="18" t="s">
        <v>1217</v>
      </c>
      <c r="F427" s="513" t="s">
        <v>444</v>
      </c>
      <c r="G427" s="284"/>
      <c r="H427" s="285" t="s">
        <v>219</v>
      </c>
      <c r="I427" s="13" t="s">
        <v>192</v>
      </c>
      <c r="J427" s="502" t="s">
        <v>262</v>
      </c>
      <c r="K427" s="507"/>
      <c r="L427" s="509">
        <v>11.61</v>
      </c>
      <c r="M427" s="509">
        <v>11.61</v>
      </c>
      <c r="N427" s="505"/>
      <c r="O427" s="505"/>
      <c r="P427" s="13" t="s">
        <v>572</v>
      </c>
      <c r="Q427" s="13" t="s">
        <v>572</v>
      </c>
      <c r="R427" s="13" t="s">
        <v>459</v>
      </c>
      <c r="S427" s="18" t="s">
        <v>100</v>
      </c>
      <c r="T427" s="18">
        <v>0</v>
      </c>
      <c r="U427" s="18"/>
      <c r="V427" s="18"/>
      <c r="W427" s="18">
        <f t="shared" si="11"/>
        <v>0</v>
      </c>
      <c r="X427" s="18"/>
      <c r="Y427" s="18"/>
      <c r="Z427" s="275"/>
    </row>
    <row r="428" spans="1:26">
      <c r="C428" s="48" t="s">
        <v>1222</v>
      </c>
      <c r="D428" s="48" t="s">
        <v>1222</v>
      </c>
      <c r="E428" s="18" t="s">
        <v>1217</v>
      </c>
      <c r="F428" s="513" t="s">
        <v>444</v>
      </c>
      <c r="G428" s="284"/>
      <c r="H428" s="285" t="s">
        <v>219</v>
      </c>
      <c r="I428" s="13" t="s">
        <v>192</v>
      </c>
      <c r="J428" s="502" t="s">
        <v>445</v>
      </c>
      <c r="K428" s="507"/>
      <c r="L428" s="509">
        <v>2.56</v>
      </c>
      <c r="M428" s="509">
        <v>2.56</v>
      </c>
      <c r="N428" s="505"/>
      <c r="O428" s="505"/>
      <c r="P428" s="13" t="s">
        <v>572</v>
      </c>
      <c r="Q428" s="13" t="s">
        <v>572</v>
      </c>
      <c r="R428" s="13" t="s">
        <v>459</v>
      </c>
      <c r="S428" s="18" t="s">
        <v>100</v>
      </c>
      <c r="T428" s="18">
        <v>0</v>
      </c>
      <c r="U428" s="18"/>
      <c r="V428" s="18"/>
      <c r="W428" s="18">
        <f t="shared" si="11"/>
        <v>0</v>
      </c>
      <c r="X428" s="18"/>
      <c r="Y428" s="18"/>
      <c r="Z428" s="275"/>
    </row>
    <row r="429" spans="1:26">
      <c r="C429" s="48" t="s">
        <v>1222</v>
      </c>
      <c r="D429" s="48" t="s">
        <v>1222</v>
      </c>
      <c r="E429" s="18" t="s">
        <v>1217</v>
      </c>
      <c r="F429" s="513" t="s">
        <v>444</v>
      </c>
      <c r="G429" s="284" t="s">
        <v>1858</v>
      </c>
      <c r="H429" s="285" t="s">
        <v>219</v>
      </c>
      <c r="I429" s="13" t="s">
        <v>593</v>
      </c>
      <c r="J429" s="34" t="s">
        <v>446</v>
      </c>
      <c r="K429" s="13" t="s">
        <v>1183</v>
      </c>
      <c r="L429" s="32">
        <v>121.46</v>
      </c>
      <c r="M429" s="32">
        <v>121.46</v>
      </c>
      <c r="N429" s="196">
        <v>25</v>
      </c>
      <c r="P429" s="13" t="s">
        <v>268</v>
      </c>
      <c r="Q429" s="13" t="s">
        <v>457</v>
      </c>
      <c r="R429" s="13" t="s">
        <v>573</v>
      </c>
      <c r="S429" s="18" t="s">
        <v>360</v>
      </c>
      <c r="T429" s="18">
        <v>0</v>
      </c>
      <c r="U429" s="18"/>
      <c r="V429" s="18"/>
      <c r="W429" s="18">
        <f t="shared" si="11"/>
        <v>0</v>
      </c>
      <c r="X429" s="18"/>
      <c r="Y429" s="18"/>
      <c r="Z429" s="275"/>
    </row>
    <row r="430" spans="1:26">
      <c r="C430" s="48" t="s">
        <v>1222</v>
      </c>
      <c r="D430" s="48" t="s">
        <v>1222</v>
      </c>
      <c r="E430" s="18" t="s">
        <v>1217</v>
      </c>
      <c r="F430" s="513" t="s">
        <v>444</v>
      </c>
      <c r="G430" s="284" t="s">
        <v>1858</v>
      </c>
      <c r="H430" s="285" t="s">
        <v>219</v>
      </c>
      <c r="I430" s="13" t="s">
        <v>593</v>
      </c>
      <c r="J430" s="34" t="s">
        <v>447</v>
      </c>
      <c r="K430" s="13" t="s">
        <v>1184</v>
      </c>
      <c r="L430" s="32">
        <v>4.7300000000000004</v>
      </c>
      <c r="M430" s="32">
        <v>4.7300000000000004</v>
      </c>
      <c r="N430" s="196">
        <v>0</v>
      </c>
      <c r="P430" s="13" t="s">
        <v>268</v>
      </c>
      <c r="Q430" s="13" t="s">
        <v>458</v>
      </c>
      <c r="R430" s="13" t="s">
        <v>573</v>
      </c>
      <c r="S430" s="18" t="s">
        <v>360</v>
      </c>
      <c r="T430" s="18">
        <v>0</v>
      </c>
      <c r="U430" s="18"/>
      <c r="V430" s="18"/>
      <c r="W430" s="18">
        <f t="shared" si="11"/>
        <v>0</v>
      </c>
      <c r="X430" s="18"/>
      <c r="Y430" s="18"/>
      <c r="Z430" s="275"/>
    </row>
    <row r="431" spans="1:26">
      <c r="C431" s="48" t="s">
        <v>1222</v>
      </c>
      <c r="D431" s="48" t="s">
        <v>1222</v>
      </c>
      <c r="E431" s="18" t="s">
        <v>1217</v>
      </c>
      <c r="F431" s="513" t="s">
        <v>444</v>
      </c>
      <c r="G431" s="284" t="s">
        <v>1858</v>
      </c>
      <c r="H431" s="285" t="s">
        <v>219</v>
      </c>
      <c r="I431" s="13" t="s">
        <v>593</v>
      </c>
      <c r="J431" s="34" t="s">
        <v>1214</v>
      </c>
      <c r="K431" s="13" t="s">
        <v>1185</v>
      </c>
      <c r="L431" s="32">
        <v>4.7300000000000004</v>
      </c>
      <c r="M431" s="32">
        <v>4.7300000000000004</v>
      </c>
      <c r="N431" s="196">
        <v>0</v>
      </c>
      <c r="P431" s="13" t="s">
        <v>268</v>
      </c>
      <c r="Q431" s="13" t="s">
        <v>458</v>
      </c>
      <c r="R431" s="13" t="s">
        <v>573</v>
      </c>
      <c r="S431" s="18" t="s">
        <v>360</v>
      </c>
      <c r="T431" s="18">
        <v>0</v>
      </c>
      <c r="U431" s="18"/>
      <c r="V431" s="18"/>
      <c r="W431" s="18">
        <f t="shared" si="11"/>
        <v>0</v>
      </c>
      <c r="X431" s="18"/>
      <c r="Y431" s="18"/>
      <c r="Z431" s="275"/>
    </row>
    <row r="432" spans="1:26">
      <c r="C432" s="48" t="s">
        <v>1222</v>
      </c>
      <c r="D432" s="48" t="s">
        <v>1222</v>
      </c>
      <c r="E432" s="18" t="s">
        <v>1217</v>
      </c>
      <c r="F432" s="513" t="s">
        <v>444</v>
      </c>
      <c r="G432" s="284" t="s">
        <v>1858</v>
      </c>
      <c r="H432" s="285" t="s">
        <v>219</v>
      </c>
      <c r="I432" s="13" t="s">
        <v>208</v>
      </c>
      <c r="J432" s="16" t="s">
        <v>1668</v>
      </c>
      <c r="K432" s="13" t="s">
        <v>1186</v>
      </c>
      <c r="L432" s="32">
        <v>7.81</v>
      </c>
      <c r="M432" s="32">
        <v>7.81</v>
      </c>
      <c r="N432" s="196">
        <v>1</v>
      </c>
      <c r="P432" s="13" t="s">
        <v>268</v>
      </c>
      <c r="Q432" s="13" t="s">
        <v>458</v>
      </c>
      <c r="R432" s="13" t="s">
        <v>573</v>
      </c>
      <c r="S432" s="18" t="s">
        <v>360</v>
      </c>
      <c r="T432" s="18">
        <v>0</v>
      </c>
      <c r="U432" s="18"/>
      <c r="V432" s="18"/>
      <c r="W432" s="18">
        <f t="shared" si="11"/>
        <v>0</v>
      </c>
      <c r="X432" s="18"/>
      <c r="Y432" s="18"/>
      <c r="Z432" s="275"/>
    </row>
    <row r="433" spans="1:26">
      <c r="C433" s="48" t="s">
        <v>1222</v>
      </c>
      <c r="D433" s="48" t="s">
        <v>1222</v>
      </c>
      <c r="E433" s="18" t="s">
        <v>1217</v>
      </c>
      <c r="F433" s="513" t="s">
        <v>444</v>
      </c>
      <c r="G433" s="284" t="s">
        <v>1858</v>
      </c>
      <c r="H433" s="285" t="s">
        <v>219</v>
      </c>
      <c r="I433" s="13" t="s">
        <v>208</v>
      </c>
      <c r="J433" s="16" t="s">
        <v>1669</v>
      </c>
      <c r="K433" s="13" t="s">
        <v>1187</v>
      </c>
      <c r="L433" s="32">
        <v>7.81</v>
      </c>
      <c r="M433" s="32">
        <v>7.81</v>
      </c>
      <c r="N433" s="196">
        <v>1</v>
      </c>
      <c r="P433" s="13" t="s">
        <v>268</v>
      </c>
      <c r="Q433" s="13" t="s">
        <v>458</v>
      </c>
      <c r="R433" s="13" t="s">
        <v>573</v>
      </c>
      <c r="S433" s="18" t="s">
        <v>360</v>
      </c>
      <c r="T433" s="18">
        <v>0</v>
      </c>
      <c r="U433" s="18"/>
      <c r="V433" s="18"/>
      <c r="W433" s="18">
        <f t="shared" si="11"/>
        <v>0</v>
      </c>
      <c r="X433" s="18"/>
      <c r="Y433" s="18"/>
      <c r="Z433" s="275"/>
    </row>
    <row r="434" spans="1:26">
      <c r="C434" s="48" t="s">
        <v>1222</v>
      </c>
      <c r="D434" s="48" t="s">
        <v>1222</v>
      </c>
      <c r="E434" s="18" t="s">
        <v>1217</v>
      </c>
      <c r="F434" s="513" t="s">
        <v>444</v>
      </c>
      <c r="G434" s="284" t="s">
        <v>1859</v>
      </c>
      <c r="H434" s="285" t="s">
        <v>219</v>
      </c>
      <c r="I434" s="13" t="s">
        <v>596</v>
      </c>
      <c r="J434" s="34" t="s">
        <v>448</v>
      </c>
      <c r="K434" s="13" t="s">
        <v>1188</v>
      </c>
      <c r="L434" s="32">
        <v>137.26</v>
      </c>
      <c r="M434" s="32">
        <v>137.26</v>
      </c>
      <c r="N434" s="196">
        <v>40</v>
      </c>
      <c r="P434" s="13" t="s">
        <v>268</v>
      </c>
      <c r="Q434" s="13" t="s">
        <v>269</v>
      </c>
      <c r="R434" s="13" t="s">
        <v>573</v>
      </c>
      <c r="S434" s="18" t="s">
        <v>360</v>
      </c>
      <c r="T434" s="18">
        <v>0</v>
      </c>
      <c r="U434" s="18"/>
      <c r="V434" s="18"/>
      <c r="W434" s="18">
        <f t="shared" si="11"/>
        <v>0</v>
      </c>
      <c r="X434" s="18"/>
      <c r="Y434" s="18"/>
      <c r="Z434" s="275"/>
    </row>
    <row r="435" spans="1:26">
      <c r="C435" s="48" t="s">
        <v>1222</v>
      </c>
      <c r="D435" s="48" t="s">
        <v>1222</v>
      </c>
      <c r="E435" s="18" t="s">
        <v>1217</v>
      </c>
      <c r="F435" s="513" t="s">
        <v>444</v>
      </c>
      <c r="G435" s="284" t="s">
        <v>1859</v>
      </c>
      <c r="H435" s="285" t="s">
        <v>219</v>
      </c>
      <c r="I435" s="13" t="s">
        <v>208</v>
      </c>
      <c r="J435" s="34" t="s">
        <v>571</v>
      </c>
      <c r="K435" s="13" t="s">
        <v>1189</v>
      </c>
      <c r="L435" s="32">
        <v>6.15</v>
      </c>
      <c r="M435" s="32">
        <v>6.15</v>
      </c>
      <c r="N435" s="196">
        <v>1</v>
      </c>
      <c r="P435" s="13" t="s">
        <v>268</v>
      </c>
      <c r="Q435" s="13" t="s">
        <v>269</v>
      </c>
      <c r="R435" s="13" t="s">
        <v>573</v>
      </c>
      <c r="S435" s="18" t="s">
        <v>360</v>
      </c>
      <c r="T435" s="18">
        <v>0</v>
      </c>
      <c r="U435" s="18"/>
      <c r="V435" s="18"/>
      <c r="W435" s="18">
        <f t="shared" si="11"/>
        <v>0</v>
      </c>
      <c r="X435" s="18"/>
      <c r="Y435" s="18"/>
      <c r="Z435" s="275"/>
    </row>
    <row r="436" spans="1:26">
      <c r="C436" s="48" t="s">
        <v>1222</v>
      </c>
      <c r="D436" s="48" t="s">
        <v>1222</v>
      </c>
      <c r="E436" s="18" t="s">
        <v>1217</v>
      </c>
      <c r="F436" s="513" t="s">
        <v>444</v>
      </c>
      <c r="G436" s="284" t="s">
        <v>1859</v>
      </c>
      <c r="H436" s="285" t="s">
        <v>219</v>
      </c>
      <c r="I436" s="13" t="s">
        <v>208</v>
      </c>
      <c r="J436" s="34" t="s">
        <v>449</v>
      </c>
      <c r="K436" s="13" t="s">
        <v>1190</v>
      </c>
      <c r="L436" s="32">
        <v>6.15</v>
      </c>
      <c r="M436" s="32">
        <v>6.15</v>
      </c>
      <c r="N436" s="196">
        <v>1</v>
      </c>
      <c r="P436" s="13" t="s">
        <v>268</v>
      </c>
      <c r="Q436" s="13" t="s">
        <v>269</v>
      </c>
      <c r="R436" s="13" t="s">
        <v>573</v>
      </c>
      <c r="S436" s="18" t="s">
        <v>360</v>
      </c>
      <c r="T436" s="18">
        <v>0</v>
      </c>
      <c r="U436" s="18"/>
      <c r="V436" s="18"/>
      <c r="W436" s="18">
        <f t="shared" si="11"/>
        <v>0</v>
      </c>
      <c r="X436" s="18"/>
      <c r="Y436" s="18"/>
      <c r="Z436" s="275"/>
    </row>
    <row r="437" spans="1:26">
      <c r="C437" s="48" t="s">
        <v>1222</v>
      </c>
      <c r="D437" s="48" t="s">
        <v>1222</v>
      </c>
      <c r="E437" s="18" t="s">
        <v>1217</v>
      </c>
      <c r="F437" s="513" t="s">
        <v>444</v>
      </c>
      <c r="G437" s="284" t="s">
        <v>1858</v>
      </c>
      <c r="H437" s="285" t="s">
        <v>219</v>
      </c>
      <c r="I437" s="13" t="s">
        <v>208</v>
      </c>
      <c r="J437" s="164" t="s">
        <v>1670</v>
      </c>
      <c r="K437" s="74" t="s">
        <v>1191</v>
      </c>
      <c r="L437" s="161">
        <v>6.27</v>
      </c>
      <c r="M437" s="161">
        <v>6.27</v>
      </c>
      <c r="N437" s="94"/>
      <c r="O437" s="94"/>
      <c r="P437" s="13" t="s">
        <v>268</v>
      </c>
      <c r="Q437" s="13" t="s">
        <v>458</v>
      </c>
      <c r="R437" s="13" t="s">
        <v>573</v>
      </c>
      <c r="S437" s="18" t="s">
        <v>360</v>
      </c>
      <c r="T437" s="18">
        <v>0</v>
      </c>
      <c r="U437" s="18"/>
      <c r="V437" s="18"/>
      <c r="W437" s="18">
        <f t="shared" si="11"/>
        <v>0</v>
      </c>
      <c r="X437" s="18"/>
      <c r="Y437" s="18"/>
      <c r="Z437" s="275"/>
    </row>
    <row r="438" spans="1:26">
      <c r="C438" s="48" t="s">
        <v>1222</v>
      </c>
      <c r="D438" s="48" t="s">
        <v>1222</v>
      </c>
      <c r="E438" s="18" t="s">
        <v>1217</v>
      </c>
      <c r="F438" s="513" t="s">
        <v>444</v>
      </c>
      <c r="G438" s="284" t="s">
        <v>1858</v>
      </c>
      <c r="H438" s="285" t="s">
        <v>219</v>
      </c>
      <c r="I438" s="13" t="s">
        <v>208</v>
      </c>
      <c r="J438" s="16" t="s">
        <v>1671</v>
      </c>
      <c r="K438" s="74" t="s">
        <v>1192</v>
      </c>
      <c r="L438" s="32">
        <v>6.27</v>
      </c>
      <c r="M438" s="32">
        <v>6.27</v>
      </c>
      <c r="N438" s="196">
        <v>1</v>
      </c>
      <c r="P438" s="13" t="s">
        <v>268</v>
      </c>
      <c r="Q438" s="13" t="s">
        <v>458</v>
      </c>
      <c r="R438" s="13" t="s">
        <v>573</v>
      </c>
      <c r="S438" s="18" t="s">
        <v>360</v>
      </c>
      <c r="T438" s="18">
        <v>0</v>
      </c>
      <c r="U438" s="18"/>
      <c r="V438" s="18"/>
      <c r="W438" s="18">
        <f t="shared" si="11"/>
        <v>0</v>
      </c>
      <c r="X438" s="18"/>
      <c r="Y438" s="18"/>
      <c r="Z438" s="275"/>
    </row>
    <row r="439" spans="1:26">
      <c r="C439" s="48" t="s">
        <v>1222</v>
      </c>
      <c r="D439" s="48" t="s">
        <v>1222</v>
      </c>
      <c r="E439" s="18" t="s">
        <v>1217</v>
      </c>
      <c r="F439" s="513" t="s">
        <v>444</v>
      </c>
      <c r="G439" s="284" t="s">
        <v>1858</v>
      </c>
      <c r="H439" s="285" t="s">
        <v>219</v>
      </c>
      <c r="I439" s="13" t="s">
        <v>1364</v>
      </c>
      <c r="J439" s="34" t="s">
        <v>216</v>
      </c>
      <c r="K439" s="74" t="s">
        <v>1193</v>
      </c>
      <c r="L439" s="32">
        <v>12.76</v>
      </c>
      <c r="M439" s="32">
        <v>12.76</v>
      </c>
      <c r="N439" s="196">
        <v>2</v>
      </c>
      <c r="P439" s="13" t="s">
        <v>268</v>
      </c>
      <c r="Q439" s="13" t="s">
        <v>269</v>
      </c>
      <c r="R439" s="13" t="s">
        <v>573</v>
      </c>
      <c r="S439" s="18" t="s">
        <v>360</v>
      </c>
      <c r="T439" s="18">
        <v>0</v>
      </c>
      <c r="U439" s="18"/>
      <c r="V439" s="18"/>
      <c r="W439" s="18">
        <f t="shared" si="11"/>
        <v>0</v>
      </c>
      <c r="X439" s="18"/>
      <c r="Y439" s="18"/>
      <c r="Z439" s="275"/>
    </row>
    <row r="440" spans="1:26">
      <c r="C440" s="48" t="s">
        <v>1222</v>
      </c>
      <c r="D440" s="48" t="s">
        <v>1222</v>
      </c>
      <c r="E440" s="18" t="s">
        <v>1217</v>
      </c>
      <c r="F440" s="513" t="s">
        <v>444</v>
      </c>
      <c r="G440" s="284" t="s">
        <v>1858</v>
      </c>
      <c r="H440" s="285" t="s">
        <v>219</v>
      </c>
      <c r="I440" s="13" t="s">
        <v>596</v>
      </c>
      <c r="J440" s="34" t="s">
        <v>450</v>
      </c>
      <c r="K440" s="74" t="s">
        <v>1194</v>
      </c>
      <c r="L440" s="32">
        <v>33.75</v>
      </c>
      <c r="M440" s="32">
        <v>33.75</v>
      </c>
      <c r="N440" s="196">
        <v>5</v>
      </c>
      <c r="P440" s="13" t="s">
        <v>268</v>
      </c>
      <c r="Q440" s="13" t="s">
        <v>269</v>
      </c>
      <c r="R440" s="13" t="s">
        <v>573</v>
      </c>
      <c r="S440" s="18" t="s">
        <v>360</v>
      </c>
      <c r="T440" s="18">
        <v>0</v>
      </c>
      <c r="U440" s="18"/>
      <c r="V440" s="18"/>
      <c r="W440" s="18">
        <f t="shared" si="11"/>
        <v>0</v>
      </c>
      <c r="X440" s="18"/>
      <c r="Y440" s="18"/>
      <c r="Z440" s="275"/>
    </row>
    <row r="441" spans="1:26">
      <c r="C441" s="48" t="s">
        <v>1222</v>
      </c>
      <c r="D441" s="48" t="s">
        <v>1222</v>
      </c>
      <c r="E441" s="18" t="s">
        <v>1217</v>
      </c>
      <c r="F441" s="513" t="s">
        <v>444</v>
      </c>
      <c r="G441" s="284" t="s">
        <v>1858</v>
      </c>
      <c r="H441" s="285" t="s">
        <v>219</v>
      </c>
      <c r="I441" s="13" t="s">
        <v>596</v>
      </c>
      <c r="J441" s="16" t="s">
        <v>1672</v>
      </c>
      <c r="K441" s="74" t="s">
        <v>1195</v>
      </c>
      <c r="L441" s="32">
        <v>24.3</v>
      </c>
      <c r="M441" s="32">
        <v>24.3</v>
      </c>
      <c r="N441" s="196">
        <v>5</v>
      </c>
      <c r="P441" s="13" t="s">
        <v>268</v>
      </c>
      <c r="Q441" s="13" t="s">
        <v>269</v>
      </c>
      <c r="R441" s="13" t="s">
        <v>573</v>
      </c>
      <c r="S441" s="18" t="s">
        <v>360</v>
      </c>
      <c r="T441" s="18">
        <v>0</v>
      </c>
      <c r="U441" s="18"/>
      <c r="V441" s="18"/>
      <c r="W441" s="18">
        <f t="shared" si="11"/>
        <v>0</v>
      </c>
      <c r="X441" s="18"/>
      <c r="Y441" s="18"/>
      <c r="Z441" s="275"/>
    </row>
    <row r="442" spans="1:26">
      <c r="C442" s="48" t="s">
        <v>1222</v>
      </c>
      <c r="D442" s="48" t="s">
        <v>1222</v>
      </c>
      <c r="E442" s="18" t="s">
        <v>1217</v>
      </c>
      <c r="F442" s="513" t="s">
        <v>444</v>
      </c>
      <c r="G442" s="284" t="s">
        <v>1858</v>
      </c>
      <c r="H442" s="285" t="s">
        <v>219</v>
      </c>
      <c r="I442" s="13" t="s">
        <v>596</v>
      </c>
      <c r="J442" s="16" t="s">
        <v>1673</v>
      </c>
      <c r="K442" s="74" t="s">
        <v>1196</v>
      </c>
      <c r="L442" s="32">
        <v>24.3</v>
      </c>
      <c r="M442" s="32">
        <v>24.3</v>
      </c>
      <c r="N442" s="196">
        <v>5</v>
      </c>
      <c r="P442" s="13" t="s">
        <v>268</v>
      </c>
      <c r="Q442" s="13" t="s">
        <v>269</v>
      </c>
      <c r="R442" s="13" t="s">
        <v>573</v>
      </c>
      <c r="S442" s="18" t="s">
        <v>360</v>
      </c>
      <c r="T442" s="18">
        <v>0</v>
      </c>
      <c r="U442" s="18"/>
      <c r="V442" s="18"/>
      <c r="W442" s="18">
        <f t="shared" si="11"/>
        <v>0</v>
      </c>
      <c r="X442" s="18"/>
      <c r="Y442" s="18"/>
      <c r="Z442" s="275"/>
    </row>
    <row r="443" spans="1:26">
      <c r="C443" s="48" t="s">
        <v>1222</v>
      </c>
      <c r="D443" s="48" t="s">
        <v>1222</v>
      </c>
      <c r="E443" s="18" t="s">
        <v>1217</v>
      </c>
      <c r="F443" s="513" t="s">
        <v>444</v>
      </c>
      <c r="G443" s="284" t="s">
        <v>1858</v>
      </c>
      <c r="H443" s="285" t="s">
        <v>219</v>
      </c>
      <c r="I443" s="13" t="s">
        <v>596</v>
      </c>
      <c r="J443" s="34" t="s">
        <v>451</v>
      </c>
      <c r="K443" s="74" t="s">
        <v>1197</v>
      </c>
      <c r="L443" s="32">
        <v>38.24</v>
      </c>
      <c r="M443" s="32">
        <v>38.24</v>
      </c>
      <c r="N443" s="196">
        <v>5</v>
      </c>
      <c r="P443" s="13" t="s">
        <v>268</v>
      </c>
      <c r="Q443" s="13" t="s">
        <v>269</v>
      </c>
      <c r="R443" s="13" t="s">
        <v>573</v>
      </c>
      <c r="S443" s="18" t="s">
        <v>360</v>
      </c>
      <c r="T443" s="18">
        <v>0</v>
      </c>
      <c r="U443" s="18"/>
      <c r="V443" s="18"/>
      <c r="W443" s="18">
        <f t="shared" si="11"/>
        <v>0</v>
      </c>
      <c r="X443" s="18"/>
      <c r="Y443" s="18"/>
      <c r="Z443" s="275"/>
    </row>
    <row r="444" spans="1:26">
      <c r="C444" s="48" t="s">
        <v>1222</v>
      </c>
      <c r="D444" s="48" t="s">
        <v>1222</v>
      </c>
      <c r="E444" s="18" t="s">
        <v>1217</v>
      </c>
      <c r="F444" s="513" t="s">
        <v>444</v>
      </c>
      <c r="G444" s="284" t="s">
        <v>1858</v>
      </c>
      <c r="H444" s="285" t="s">
        <v>219</v>
      </c>
      <c r="I444" s="13" t="s">
        <v>596</v>
      </c>
      <c r="J444" s="16" t="s">
        <v>1674</v>
      </c>
      <c r="K444" s="74" t="s">
        <v>1198</v>
      </c>
      <c r="L444" s="32">
        <v>25.52</v>
      </c>
      <c r="M444" s="32">
        <v>25.52</v>
      </c>
      <c r="N444" s="196">
        <v>5</v>
      </c>
      <c r="P444" s="13" t="s">
        <v>268</v>
      </c>
      <c r="Q444" s="13" t="s">
        <v>269</v>
      </c>
      <c r="R444" s="13" t="s">
        <v>573</v>
      </c>
      <c r="S444" s="18" t="s">
        <v>360</v>
      </c>
      <c r="T444" s="18">
        <v>0</v>
      </c>
      <c r="U444" s="18"/>
      <c r="V444" s="18"/>
      <c r="W444" s="18">
        <f t="shared" si="11"/>
        <v>0</v>
      </c>
      <c r="X444" s="18"/>
      <c r="Y444" s="18"/>
      <c r="Z444" s="275"/>
    </row>
    <row r="445" spans="1:26">
      <c r="C445" s="48" t="s">
        <v>1222</v>
      </c>
      <c r="D445" s="48" t="s">
        <v>1222</v>
      </c>
      <c r="E445" s="18" t="s">
        <v>1217</v>
      </c>
      <c r="F445" s="513" t="s">
        <v>444</v>
      </c>
      <c r="G445" s="284" t="s">
        <v>1858</v>
      </c>
      <c r="H445" s="285" t="s">
        <v>219</v>
      </c>
      <c r="I445" s="13" t="s">
        <v>596</v>
      </c>
      <c r="J445" s="34" t="s">
        <v>371</v>
      </c>
      <c r="K445" s="74" t="s">
        <v>1199</v>
      </c>
      <c r="L445" s="32">
        <v>25.52</v>
      </c>
      <c r="M445" s="32">
        <v>25.52</v>
      </c>
      <c r="N445" s="196">
        <v>5</v>
      </c>
      <c r="P445" s="13" t="s">
        <v>268</v>
      </c>
      <c r="Q445" s="13" t="s">
        <v>269</v>
      </c>
      <c r="R445" s="13" t="s">
        <v>573</v>
      </c>
      <c r="S445" s="18" t="s">
        <v>360</v>
      </c>
      <c r="T445" s="18">
        <v>0</v>
      </c>
      <c r="U445" s="18"/>
      <c r="V445" s="18"/>
      <c r="W445" s="18">
        <f t="shared" si="11"/>
        <v>0</v>
      </c>
      <c r="X445" s="18"/>
      <c r="Y445" s="18"/>
      <c r="Z445" s="275"/>
    </row>
    <row r="446" spans="1:26">
      <c r="C446" s="48" t="s">
        <v>1222</v>
      </c>
      <c r="D446" s="48" t="s">
        <v>1222</v>
      </c>
      <c r="E446" s="18" t="s">
        <v>1217</v>
      </c>
      <c r="F446" s="513" t="s">
        <v>444</v>
      </c>
      <c r="G446" s="284" t="s">
        <v>1858</v>
      </c>
      <c r="H446" s="285" t="s">
        <v>219</v>
      </c>
      <c r="I446" s="13" t="s">
        <v>596</v>
      </c>
      <c r="J446" s="34" t="s">
        <v>452</v>
      </c>
      <c r="K446" s="74" t="s">
        <v>1200</v>
      </c>
      <c r="L446" s="32">
        <v>25.52</v>
      </c>
      <c r="M446" s="32">
        <v>25.52</v>
      </c>
      <c r="N446" s="196">
        <v>5</v>
      </c>
      <c r="P446" s="13" t="s">
        <v>268</v>
      </c>
      <c r="Q446" s="13" t="s">
        <v>269</v>
      </c>
      <c r="R446" s="13" t="s">
        <v>573</v>
      </c>
      <c r="S446" s="18" t="s">
        <v>360</v>
      </c>
      <c r="T446" s="18">
        <v>0</v>
      </c>
      <c r="U446" s="18"/>
      <c r="V446" s="18"/>
      <c r="W446" s="18">
        <f t="shared" si="11"/>
        <v>0</v>
      </c>
      <c r="X446" s="18"/>
      <c r="Y446" s="18"/>
      <c r="Z446" s="275"/>
    </row>
    <row r="447" spans="1:26">
      <c r="C447" s="48" t="s">
        <v>1222</v>
      </c>
      <c r="D447" s="48" t="s">
        <v>1222</v>
      </c>
      <c r="E447" s="18" t="s">
        <v>1217</v>
      </c>
      <c r="F447" s="513" t="s">
        <v>444</v>
      </c>
      <c r="G447" s="284" t="s">
        <v>1858</v>
      </c>
      <c r="H447" s="285" t="s">
        <v>219</v>
      </c>
      <c r="I447" s="13" t="s">
        <v>249</v>
      </c>
      <c r="J447" s="34" t="s">
        <v>453</v>
      </c>
      <c r="K447" s="74" t="s">
        <v>1201</v>
      </c>
      <c r="L447" s="32">
        <v>25.52</v>
      </c>
      <c r="M447" s="32">
        <v>25.52</v>
      </c>
      <c r="N447" s="196">
        <v>4</v>
      </c>
      <c r="P447" s="13" t="s">
        <v>268</v>
      </c>
      <c r="Q447" s="13" t="s">
        <v>269</v>
      </c>
      <c r="R447" s="13" t="s">
        <v>573</v>
      </c>
      <c r="S447" s="18" t="s">
        <v>360</v>
      </c>
      <c r="T447" s="18">
        <v>0</v>
      </c>
      <c r="U447" s="18"/>
      <c r="V447" s="18"/>
      <c r="W447" s="18">
        <f t="shared" si="11"/>
        <v>0</v>
      </c>
      <c r="X447" s="18"/>
      <c r="Y447" s="18"/>
      <c r="Z447" s="275"/>
    </row>
    <row r="448" spans="1:26">
      <c r="A448">
        <f>SUM(L424:L448)</f>
        <v>751.48999999999967</v>
      </c>
      <c r="C448" s="48" t="s">
        <v>1222</v>
      </c>
      <c r="D448" s="48" t="s">
        <v>1222</v>
      </c>
      <c r="E448" s="18" t="s">
        <v>1217</v>
      </c>
      <c r="F448" s="513" t="s">
        <v>444</v>
      </c>
      <c r="G448" s="284"/>
      <c r="H448" s="285" t="s">
        <v>219</v>
      </c>
      <c r="I448" s="39" t="s">
        <v>194</v>
      </c>
      <c r="J448" s="39" t="s">
        <v>194</v>
      </c>
      <c r="K448" s="507"/>
      <c r="L448" s="509">
        <v>49.16</v>
      </c>
      <c r="M448" s="509">
        <v>49.16</v>
      </c>
      <c r="N448" s="505"/>
      <c r="O448" s="505"/>
      <c r="P448" s="13" t="s">
        <v>268</v>
      </c>
      <c r="Q448" s="13" t="s">
        <v>269</v>
      </c>
      <c r="R448" s="13" t="s">
        <v>573</v>
      </c>
      <c r="S448" s="18" t="s">
        <v>360</v>
      </c>
      <c r="T448" s="18">
        <v>0</v>
      </c>
      <c r="U448" s="18"/>
      <c r="V448" s="18"/>
      <c r="W448" s="18">
        <f t="shared" si="11"/>
        <v>0</v>
      </c>
      <c r="X448" s="18"/>
      <c r="Y448" s="18"/>
      <c r="Z448" s="275"/>
    </row>
    <row r="449" spans="3:26">
      <c r="C449" s="48" t="s">
        <v>1222</v>
      </c>
      <c r="D449" s="48" t="s">
        <v>1222</v>
      </c>
      <c r="E449" s="18" t="s">
        <v>1217</v>
      </c>
      <c r="F449" s="522" t="s">
        <v>511</v>
      </c>
      <c r="G449" s="284" t="s">
        <v>388</v>
      </c>
      <c r="H449" s="285" t="s">
        <v>510</v>
      </c>
      <c r="I449" s="13" t="s">
        <v>248</v>
      </c>
      <c r="J449" s="16" t="s">
        <v>366</v>
      </c>
      <c r="K449" s="16" t="s">
        <v>465</v>
      </c>
      <c r="L449" s="16">
        <v>53.78</v>
      </c>
      <c r="M449" s="16">
        <v>53.78</v>
      </c>
      <c r="N449" s="523">
        <v>35</v>
      </c>
      <c r="O449" s="523" t="s">
        <v>76</v>
      </c>
      <c r="P449" s="13" t="s">
        <v>268</v>
      </c>
      <c r="Q449" s="13" t="s">
        <v>269</v>
      </c>
      <c r="R449" s="13" t="s">
        <v>460</v>
      </c>
      <c r="S449" s="18" t="s">
        <v>360</v>
      </c>
      <c r="T449" s="18">
        <v>0</v>
      </c>
      <c r="U449" s="18"/>
      <c r="V449" s="18"/>
      <c r="W449" s="18">
        <f t="shared" si="11"/>
        <v>0</v>
      </c>
      <c r="X449" s="18"/>
      <c r="Y449" s="18"/>
      <c r="Z449" s="21" t="e">
        <f>SUM(#REF!)</f>
        <v>#REF!</v>
      </c>
    </row>
    <row r="450" spans="3:26">
      <c r="C450" s="48" t="s">
        <v>1222</v>
      </c>
      <c r="D450" s="48" t="s">
        <v>1222</v>
      </c>
      <c r="E450" s="18" t="s">
        <v>1217</v>
      </c>
      <c r="F450" s="522" t="s">
        <v>511</v>
      </c>
      <c r="G450" s="284" t="s">
        <v>388</v>
      </c>
      <c r="H450" s="285" t="s">
        <v>510</v>
      </c>
      <c r="I450" s="13" t="s">
        <v>248</v>
      </c>
      <c r="J450" s="16" t="s">
        <v>366</v>
      </c>
      <c r="K450" s="16" t="s">
        <v>466</v>
      </c>
      <c r="L450" s="16">
        <v>73.78</v>
      </c>
      <c r="M450" s="16">
        <v>73.78</v>
      </c>
      <c r="N450" s="523">
        <v>50</v>
      </c>
      <c r="O450" s="523" t="s">
        <v>76</v>
      </c>
      <c r="P450" s="13" t="s">
        <v>268</v>
      </c>
      <c r="Q450" s="13" t="s">
        <v>269</v>
      </c>
      <c r="R450" s="13" t="s">
        <v>460</v>
      </c>
      <c r="S450" s="18" t="s">
        <v>360</v>
      </c>
      <c r="T450" s="18">
        <v>0</v>
      </c>
      <c r="U450" s="18"/>
      <c r="V450" s="18"/>
      <c r="W450" s="18">
        <f t="shared" si="11"/>
        <v>0</v>
      </c>
      <c r="X450" s="18"/>
      <c r="Y450" s="18"/>
      <c r="Z450" s="21"/>
    </row>
    <row r="451" spans="3:26">
      <c r="C451" s="48" t="s">
        <v>1222</v>
      </c>
      <c r="D451" s="48" t="s">
        <v>1222</v>
      </c>
      <c r="E451" s="18" t="s">
        <v>1217</v>
      </c>
      <c r="F451" s="522" t="s">
        <v>511</v>
      </c>
      <c r="G451" s="284" t="s">
        <v>388</v>
      </c>
      <c r="H451" s="285" t="s">
        <v>510</v>
      </c>
      <c r="I451" s="13" t="s">
        <v>248</v>
      </c>
      <c r="J451" s="16" t="s">
        <v>366</v>
      </c>
      <c r="K451" s="16" t="s">
        <v>467</v>
      </c>
      <c r="L451" s="16">
        <v>73.78</v>
      </c>
      <c r="M451" s="16">
        <v>73.78</v>
      </c>
      <c r="N451" s="523">
        <v>50</v>
      </c>
      <c r="O451" s="523" t="s">
        <v>76</v>
      </c>
      <c r="P451" s="13" t="s">
        <v>268</v>
      </c>
      <c r="Q451" s="13" t="s">
        <v>269</v>
      </c>
      <c r="R451" s="13" t="s">
        <v>460</v>
      </c>
      <c r="S451" s="18" t="s">
        <v>360</v>
      </c>
      <c r="T451" s="18">
        <v>0</v>
      </c>
      <c r="U451" s="18"/>
      <c r="V451" s="18"/>
      <c r="W451" s="18">
        <f t="shared" si="11"/>
        <v>0</v>
      </c>
      <c r="X451" s="18"/>
      <c r="Y451" s="18"/>
      <c r="Z451" s="21"/>
    </row>
    <row r="452" spans="3:26">
      <c r="C452" s="48" t="s">
        <v>1222</v>
      </c>
      <c r="D452" s="48" t="s">
        <v>1222</v>
      </c>
      <c r="E452" s="18" t="s">
        <v>1217</v>
      </c>
      <c r="F452" s="522" t="s">
        <v>511</v>
      </c>
      <c r="G452" s="284" t="s">
        <v>388</v>
      </c>
      <c r="H452" s="285" t="s">
        <v>510</v>
      </c>
      <c r="I452" s="13" t="s">
        <v>248</v>
      </c>
      <c r="J452" s="16" t="s">
        <v>366</v>
      </c>
      <c r="K452" s="16" t="s">
        <v>468</v>
      </c>
      <c r="L452" s="16">
        <v>58.75</v>
      </c>
      <c r="M452" s="16">
        <v>58.75</v>
      </c>
      <c r="N452" s="523">
        <v>40</v>
      </c>
      <c r="O452" s="523" t="s">
        <v>76</v>
      </c>
      <c r="P452" s="13" t="s">
        <v>268</v>
      </c>
      <c r="Q452" s="13" t="s">
        <v>269</v>
      </c>
      <c r="R452" s="13" t="s">
        <v>460</v>
      </c>
      <c r="S452" s="18" t="s">
        <v>360</v>
      </c>
      <c r="T452" s="18">
        <v>0</v>
      </c>
      <c r="U452" s="18"/>
      <c r="V452" s="18"/>
      <c r="W452" s="18">
        <f t="shared" si="11"/>
        <v>0</v>
      </c>
      <c r="X452" s="18"/>
      <c r="Y452" s="18"/>
      <c r="Z452" s="21"/>
    </row>
    <row r="453" spans="3:26">
      <c r="C453" s="48" t="s">
        <v>1222</v>
      </c>
      <c r="D453" s="48" t="s">
        <v>1222</v>
      </c>
      <c r="E453" s="18" t="s">
        <v>1217</v>
      </c>
      <c r="F453" s="522" t="s">
        <v>511</v>
      </c>
      <c r="G453" s="284" t="s">
        <v>388</v>
      </c>
      <c r="H453" s="285" t="s">
        <v>510</v>
      </c>
      <c r="I453" s="13" t="s">
        <v>248</v>
      </c>
      <c r="J453" s="16" t="s">
        <v>366</v>
      </c>
      <c r="K453" s="16" t="s">
        <v>469</v>
      </c>
      <c r="L453" s="16">
        <v>88.67</v>
      </c>
      <c r="M453" s="16">
        <v>88.67</v>
      </c>
      <c r="N453" s="523">
        <v>60</v>
      </c>
      <c r="O453" s="523" t="s">
        <v>76</v>
      </c>
      <c r="P453" s="13" t="s">
        <v>268</v>
      </c>
      <c r="Q453" s="13" t="s">
        <v>269</v>
      </c>
      <c r="R453" s="13" t="s">
        <v>460</v>
      </c>
      <c r="S453" s="18" t="s">
        <v>360</v>
      </c>
      <c r="T453" s="18">
        <v>0</v>
      </c>
      <c r="U453" s="18"/>
      <c r="V453" s="18"/>
      <c r="W453" s="18">
        <f t="shared" si="11"/>
        <v>0</v>
      </c>
      <c r="X453" s="18"/>
      <c r="Y453" s="18"/>
      <c r="Z453" s="21"/>
    </row>
    <row r="454" spans="3:26">
      <c r="C454" s="48" t="s">
        <v>1222</v>
      </c>
      <c r="D454" s="48" t="s">
        <v>1222</v>
      </c>
      <c r="E454" s="18" t="s">
        <v>1217</v>
      </c>
      <c r="F454" s="522" t="s">
        <v>511</v>
      </c>
      <c r="G454" s="284"/>
      <c r="H454" s="285" t="s">
        <v>510</v>
      </c>
      <c r="I454" s="13" t="s">
        <v>355</v>
      </c>
      <c r="J454" s="503" t="s">
        <v>470</v>
      </c>
      <c r="K454" s="503"/>
      <c r="L454" s="503">
        <v>4.88</v>
      </c>
      <c r="M454" s="503">
        <v>4.88</v>
      </c>
      <c r="N454" s="505"/>
      <c r="O454" s="505"/>
      <c r="P454" s="13" t="s">
        <v>268</v>
      </c>
      <c r="Q454" s="13" t="s">
        <v>269</v>
      </c>
      <c r="R454" s="13" t="s">
        <v>460</v>
      </c>
      <c r="S454" s="18" t="s">
        <v>360</v>
      </c>
      <c r="T454" s="18">
        <v>0</v>
      </c>
      <c r="U454" s="18"/>
      <c r="V454" s="18"/>
      <c r="W454" s="18">
        <f t="shared" si="11"/>
        <v>0</v>
      </c>
      <c r="X454" s="18"/>
      <c r="Y454" s="18"/>
      <c r="Z454" s="21"/>
    </row>
    <row r="455" spans="3:26">
      <c r="C455" s="48" t="s">
        <v>1222</v>
      </c>
      <c r="D455" s="48" t="s">
        <v>1222</v>
      </c>
      <c r="E455" s="18" t="s">
        <v>1217</v>
      </c>
      <c r="F455" s="522" t="s">
        <v>511</v>
      </c>
      <c r="G455" s="284"/>
      <c r="H455" s="285" t="s">
        <v>510</v>
      </c>
      <c r="I455" s="13" t="s">
        <v>192</v>
      </c>
      <c r="J455" s="503" t="s">
        <v>604</v>
      </c>
      <c r="K455" s="503"/>
      <c r="L455" s="503">
        <v>5.4</v>
      </c>
      <c r="M455" s="503">
        <v>5.4</v>
      </c>
      <c r="N455" s="505"/>
      <c r="O455" s="505"/>
      <c r="P455" s="13" t="s">
        <v>572</v>
      </c>
      <c r="Q455" s="13" t="s">
        <v>572</v>
      </c>
      <c r="R455" s="13" t="s">
        <v>459</v>
      </c>
      <c r="S455" s="18" t="s">
        <v>100</v>
      </c>
      <c r="T455" s="18">
        <v>0</v>
      </c>
      <c r="U455" s="18"/>
      <c r="V455" s="18"/>
      <c r="W455" s="18">
        <f t="shared" si="11"/>
        <v>0</v>
      </c>
      <c r="X455" s="18"/>
      <c r="Y455" s="18"/>
      <c r="Z455" s="21"/>
    </row>
    <row r="456" spans="3:26">
      <c r="C456" s="48" t="s">
        <v>1222</v>
      </c>
      <c r="D456" s="48" t="s">
        <v>1222</v>
      </c>
      <c r="E456" s="18" t="s">
        <v>1217</v>
      </c>
      <c r="F456" s="522" t="s">
        <v>511</v>
      </c>
      <c r="G456" s="284"/>
      <c r="H456" s="285" t="s">
        <v>510</v>
      </c>
      <c r="I456" s="13" t="s">
        <v>192</v>
      </c>
      <c r="J456" s="503" t="s">
        <v>471</v>
      </c>
      <c r="K456" s="503"/>
      <c r="L456" s="503">
        <v>5.4</v>
      </c>
      <c r="M456" s="503">
        <v>5.4</v>
      </c>
      <c r="N456" s="505"/>
      <c r="O456" s="505"/>
      <c r="P456" s="13" t="s">
        <v>572</v>
      </c>
      <c r="Q456" s="13" t="s">
        <v>572</v>
      </c>
      <c r="R456" s="13" t="s">
        <v>459</v>
      </c>
      <c r="S456" s="18" t="s">
        <v>100</v>
      </c>
      <c r="T456" s="18">
        <v>0</v>
      </c>
      <c r="U456" s="18"/>
      <c r="V456" s="18"/>
      <c r="W456" s="18">
        <f t="shared" si="11"/>
        <v>0</v>
      </c>
      <c r="X456" s="18"/>
      <c r="Y456" s="18"/>
      <c r="Z456" s="21"/>
    </row>
    <row r="457" spans="3:26">
      <c r="C457" s="48" t="s">
        <v>1222</v>
      </c>
      <c r="D457" s="48" t="s">
        <v>1222</v>
      </c>
      <c r="E457" s="18" t="s">
        <v>1217</v>
      </c>
      <c r="F457" s="522" t="s">
        <v>511</v>
      </c>
      <c r="G457" s="284"/>
      <c r="H457" s="285" t="s">
        <v>510</v>
      </c>
      <c r="I457" s="13" t="s">
        <v>192</v>
      </c>
      <c r="J457" s="503" t="s">
        <v>368</v>
      </c>
      <c r="K457" s="503"/>
      <c r="L457" s="503">
        <v>10.85</v>
      </c>
      <c r="M457" s="503">
        <v>10.85</v>
      </c>
      <c r="N457" s="505"/>
      <c r="O457" s="505"/>
      <c r="P457" s="13" t="s">
        <v>572</v>
      </c>
      <c r="Q457" s="13" t="s">
        <v>572</v>
      </c>
      <c r="R457" s="13" t="s">
        <v>459</v>
      </c>
      <c r="S457" s="18" t="s">
        <v>100</v>
      </c>
      <c r="T457" s="18">
        <v>0</v>
      </c>
      <c r="U457" s="18"/>
      <c r="V457" s="18"/>
      <c r="W457" s="18">
        <f t="shared" si="11"/>
        <v>0</v>
      </c>
      <c r="X457" s="18"/>
      <c r="Y457" s="18"/>
      <c r="Z457" s="21"/>
    </row>
    <row r="458" spans="3:26">
      <c r="C458" s="48" t="s">
        <v>1222</v>
      </c>
      <c r="D458" s="48" t="s">
        <v>1222</v>
      </c>
      <c r="E458" s="18" t="s">
        <v>1217</v>
      </c>
      <c r="F458" s="522" t="s">
        <v>511</v>
      </c>
      <c r="G458" s="284"/>
      <c r="H458" s="285" t="s">
        <v>510</v>
      </c>
      <c r="I458" s="13" t="s">
        <v>27</v>
      </c>
      <c r="J458" s="503" t="s">
        <v>1397</v>
      </c>
      <c r="K458" s="503"/>
      <c r="L458" s="503">
        <v>3</v>
      </c>
      <c r="M458" s="503">
        <v>3</v>
      </c>
      <c r="N458" s="505"/>
      <c r="O458" s="505"/>
      <c r="P458" s="13" t="s">
        <v>572</v>
      </c>
      <c r="Q458" s="13" t="s">
        <v>572</v>
      </c>
      <c r="R458" s="13" t="s">
        <v>459</v>
      </c>
      <c r="S458" s="18" t="s">
        <v>100</v>
      </c>
      <c r="T458" s="18">
        <v>0</v>
      </c>
      <c r="U458" s="18"/>
      <c r="V458" s="18"/>
      <c r="W458" s="18">
        <f t="shared" si="11"/>
        <v>0</v>
      </c>
      <c r="X458" s="18"/>
      <c r="Y458" s="18"/>
      <c r="Z458" s="21"/>
    </row>
    <row r="459" spans="3:26">
      <c r="C459" s="48" t="s">
        <v>1222</v>
      </c>
      <c r="D459" s="48" t="s">
        <v>1222</v>
      </c>
      <c r="E459" s="18" t="s">
        <v>1217</v>
      </c>
      <c r="F459" s="522" t="s">
        <v>511</v>
      </c>
      <c r="G459" s="284"/>
      <c r="H459" s="285" t="s">
        <v>510</v>
      </c>
      <c r="I459" s="13" t="s">
        <v>192</v>
      </c>
      <c r="J459" s="503" t="s">
        <v>367</v>
      </c>
      <c r="K459" s="503"/>
      <c r="L459" s="503">
        <v>9.32</v>
      </c>
      <c r="M459" s="503">
        <v>9.32</v>
      </c>
      <c r="N459" s="505"/>
      <c r="O459" s="505"/>
      <c r="P459" s="13" t="s">
        <v>572</v>
      </c>
      <c r="Q459" s="13" t="s">
        <v>572</v>
      </c>
      <c r="R459" s="13" t="s">
        <v>459</v>
      </c>
      <c r="S459" s="18" t="s">
        <v>100</v>
      </c>
      <c r="T459" s="18">
        <v>0</v>
      </c>
      <c r="U459" s="18"/>
      <c r="V459" s="18"/>
      <c r="W459" s="18">
        <f t="shared" si="11"/>
        <v>0</v>
      </c>
      <c r="X459" s="18"/>
      <c r="Y459" s="18"/>
      <c r="Z459" s="21"/>
    </row>
    <row r="460" spans="3:26">
      <c r="C460" s="48" t="s">
        <v>1222</v>
      </c>
      <c r="D460" s="48" t="s">
        <v>1222</v>
      </c>
      <c r="E460" s="18" t="s">
        <v>1217</v>
      </c>
      <c r="F460" s="522" t="s">
        <v>511</v>
      </c>
      <c r="G460" s="284"/>
      <c r="H460" s="285" t="s">
        <v>510</v>
      </c>
      <c r="I460" s="13" t="s">
        <v>194</v>
      </c>
      <c r="J460" s="503" t="s">
        <v>194</v>
      </c>
      <c r="K460" s="503"/>
      <c r="L460" s="503">
        <v>108.96</v>
      </c>
      <c r="M460" s="503">
        <v>108.96</v>
      </c>
      <c r="N460" s="505"/>
      <c r="O460" s="505"/>
      <c r="P460" s="13" t="s">
        <v>268</v>
      </c>
      <c r="Q460" s="13" t="s">
        <v>269</v>
      </c>
      <c r="R460" s="13" t="s">
        <v>460</v>
      </c>
      <c r="T460" s="18"/>
      <c r="U460" s="18"/>
      <c r="V460" s="18"/>
      <c r="W460" s="18"/>
      <c r="X460" s="18"/>
      <c r="Y460" s="18"/>
      <c r="Z460" s="21"/>
    </row>
    <row r="461" spans="3:26">
      <c r="C461" s="48" t="s">
        <v>1222</v>
      </c>
      <c r="D461" s="48" t="s">
        <v>1222</v>
      </c>
      <c r="E461" s="18" t="s">
        <v>1217</v>
      </c>
      <c r="F461" s="522" t="s">
        <v>511</v>
      </c>
      <c r="G461" s="284" t="s">
        <v>388</v>
      </c>
      <c r="H461" s="285" t="s">
        <v>219</v>
      </c>
      <c r="I461" s="13" t="s">
        <v>248</v>
      </c>
      <c r="J461" s="16" t="s">
        <v>366</v>
      </c>
      <c r="K461" s="16" t="s">
        <v>472</v>
      </c>
      <c r="L461" s="16">
        <v>53.8</v>
      </c>
      <c r="M461" s="16">
        <v>53.8</v>
      </c>
      <c r="N461" s="523">
        <v>35</v>
      </c>
      <c r="O461" s="523" t="s">
        <v>76</v>
      </c>
      <c r="P461" s="13" t="s">
        <v>268</v>
      </c>
      <c r="Q461" s="13" t="s">
        <v>269</v>
      </c>
      <c r="R461" s="13" t="s">
        <v>460</v>
      </c>
      <c r="S461" s="18" t="s">
        <v>360</v>
      </c>
      <c r="T461" s="18">
        <v>0</v>
      </c>
      <c r="U461" s="18"/>
      <c r="V461" s="18"/>
      <c r="W461" s="18">
        <f t="shared" si="11"/>
        <v>0</v>
      </c>
      <c r="X461" s="18"/>
      <c r="Y461" s="18"/>
      <c r="Z461" s="21"/>
    </row>
    <row r="462" spans="3:26">
      <c r="C462" s="48" t="s">
        <v>1222</v>
      </c>
      <c r="D462" s="48" t="s">
        <v>1222</v>
      </c>
      <c r="E462" s="18" t="s">
        <v>1217</v>
      </c>
      <c r="F462" s="522" t="s">
        <v>511</v>
      </c>
      <c r="G462" s="284" t="s">
        <v>388</v>
      </c>
      <c r="H462" s="285" t="s">
        <v>219</v>
      </c>
      <c r="I462" s="13" t="s">
        <v>248</v>
      </c>
      <c r="J462" s="16" t="s">
        <v>366</v>
      </c>
      <c r="K462" s="16" t="s">
        <v>473</v>
      </c>
      <c r="L462" s="16">
        <v>73.78</v>
      </c>
      <c r="M462" s="16">
        <v>73.78</v>
      </c>
      <c r="N462" s="523">
        <v>50</v>
      </c>
      <c r="O462" s="523" t="s">
        <v>76</v>
      </c>
      <c r="P462" s="13" t="s">
        <v>268</v>
      </c>
      <c r="Q462" s="13" t="s">
        <v>269</v>
      </c>
      <c r="R462" s="13" t="s">
        <v>460</v>
      </c>
      <c r="S462" s="18" t="s">
        <v>360</v>
      </c>
      <c r="T462" s="18">
        <v>0</v>
      </c>
      <c r="U462" s="18"/>
      <c r="V462" s="18"/>
      <c r="W462" s="18">
        <f t="shared" si="11"/>
        <v>0</v>
      </c>
      <c r="X462" s="18"/>
      <c r="Y462" s="18"/>
      <c r="Z462" s="21"/>
    </row>
    <row r="463" spans="3:26">
      <c r="C463" s="48" t="s">
        <v>1222</v>
      </c>
      <c r="D463" s="48" t="s">
        <v>1222</v>
      </c>
      <c r="E463" s="18" t="s">
        <v>1217</v>
      </c>
      <c r="F463" s="522" t="s">
        <v>511</v>
      </c>
      <c r="G463" s="284" t="s">
        <v>388</v>
      </c>
      <c r="H463" s="285" t="s">
        <v>219</v>
      </c>
      <c r="I463" s="13" t="s">
        <v>248</v>
      </c>
      <c r="J463" s="16" t="s">
        <v>366</v>
      </c>
      <c r="K463" s="16" t="s">
        <v>474</v>
      </c>
      <c r="L463" s="16">
        <v>73.78</v>
      </c>
      <c r="M463" s="16">
        <v>73.78</v>
      </c>
      <c r="N463" s="523">
        <v>50</v>
      </c>
      <c r="O463" s="523" t="s">
        <v>76</v>
      </c>
      <c r="P463" s="13" t="s">
        <v>268</v>
      </c>
      <c r="Q463" s="13" t="s">
        <v>269</v>
      </c>
      <c r="R463" s="13" t="s">
        <v>460</v>
      </c>
      <c r="S463" s="18" t="s">
        <v>360</v>
      </c>
      <c r="T463" s="18">
        <v>0</v>
      </c>
      <c r="U463" s="18"/>
      <c r="V463" s="18"/>
      <c r="W463" s="18">
        <f t="shared" si="11"/>
        <v>0</v>
      </c>
      <c r="X463" s="18"/>
      <c r="Y463" s="18"/>
      <c r="Z463" s="21"/>
    </row>
    <row r="464" spans="3:26">
      <c r="C464" s="48" t="s">
        <v>1222</v>
      </c>
      <c r="D464" s="48" t="s">
        <v>1222</v>
      </c>
      <c r="E464" s="18" t="s">
        <v>1217</v>
      </c>
      <c r="F464" s="522" t="s">
        <v>511</v>
      </c>
      <c r="G464" s="284" t="s">
        <v>388</v>
      </c>
      <c r="H464" s="285" t="s">
        <v>219</v>
      </c>
      <c r="I464" s="13" t="s">
        <v>248</v>
      </c>
      <c r="J464" s="16" t="s">
        <v>366</v>
      </c>
      <c r="K464" s="16" t="s">
        <v>475</v>
      </c>
      <c r="L464" s="16">
        <v>58.75</v>
      </c>
      <c r="M464" s="16">
        <v>58.75</v>
      </c>
      <c r="N464" s="523">
        <v>40</v>
      </c>
      <c r="O464" s="523" t="s">
        <v>76</v>
      </c>
      <c r="P464" s="13" t="s">
        <v>268</v>
      </c>
      <c r="Q464" s="13" t="s">
        <v>269</v>
      </c>
      <c r="R464" s="13" t="s">
        <v>460</v>
      </c>
      <c r="S464" s="18" t="s">
        <v>360</v>
      </c>
      <c r="T464" s="18">
        <v>0</v>
      </c>
      <c r="U464" s="18"/>
      <c r="V464" s="18"/>
      <c r="W464" s="18">
        <f t="shared" si="11"/>
        <v>0</v>
      </c>
      <c r="X464" s="18"/>
      <c r="Y464" s="18"/>
      <c r="Z464" s="21"/>
    </row>
    <row r="465" spans="3:26">
      <c r="C465" s="48" t="s">
        <v>1222</v>
      </c>
      <c r="D465" s="48" t="s">
        <v>1222</v>
      </c>
      <c r="E465" s="18" t="s">
        <v>1217</v>
      </c>
      <c r="F465" s="522" t="s">
        <v>511</v>
      </c>
      <c r="G465" s="284" t="s">
        <v>1879</v>
      </c>
      <c r="H465" s="285" t="s">
        <v>219</v>
      </c>
      <c r="I465" s="13" t="s">
        <v>249</v>
      </c>
      <c r="J465" s="16" t="s">
        <v>1208</v>
      </c>
      <c r="K465" s="16" t="s">
        <v>476</v>
      </c>
      <c r="L465" s="501">
        <v>12.5</v>
      </c>
      <c r="M465" s="501">
        <v>12.5</v>
      </c>
      <c r="N465" s="523"/>
      <c r="O465" s="523"/>
      <c r="P465" s="13" t="s">
        <v>268</v>
      </c>
      <c r="T465" s="18"/>
      <c r="U465" s="18"/>
      <c r="V465" s="18"/>
      <c r="W465" s="18"/>
      <c r="X465" s="18"/>
      <c r="Y465" s="18"/>
      <c r="Z465" s="21"/>
    </row>
    <row r="466" spans="3:26">
      <c r="C466" s="48" t="s">
        <v>1222</v>
      </c>
      <c r="D466" s="48" t="s">
        <v>1222</v>
      </c>
      <c r="E466" s="18" t="s">
        <v>1217</v>
      </c>
      <c r="F466" s="522" t="s">
        <v>511</v>
      </c>
      <c r="G466" s="284" t="s">
        <v>1879</v>
      </c>
      <c r="H466" s="285" t="s">
        <v>219</v>
      </c>
      <c r="I466" s="13" t="s">
        <v>249</v>
      </c>
      <c r="J466" s="16" t="s">
        <v>1209</v>
      </c>
      <c r="K466" s="16" t="s">
        <v>1110</v>
      </c>
      <c r="L466" s="501">
        <v>12.5</v>
      </c>
      <c r="M466" s="501">
        <v>12.5</v>
      </c>
      <c r="N466" s="523"/>
      <c r="O466" s="523"/>
      <c r="P466" s="13" t="s">
        <v>268</v>
      </c>
      <c r="T466" s="18"/>
      <c r="U466" s="18"/>
      <c r="V466" s="18"/>
      <c r="W466" s="18"/>
      <c r="X466" s="18"/>
      <c r="Y466" s="18"/>
      <c r="Z466" s="21"/>
    </row>
    <row r="467" spans="3:26">
      <c r="C467" s="48" t="s">
        <v>1222</v>
      </c>
      <c r="D467" s="48" t="s">
        <v>1222</v>
      </c>
      <c r="E467" s="18" t="s">
        <v>1217</v>
      </c>
      <c r="F467" s="522" t="s">
        <v>511</v>
      </c>
      <c r="G467" s="284" t="s">
        <v>1879</v>
      </c>
      <c r="H467" s="285" t="s">
        <v>219</v>
      </c>
      <c r="I467" s="13" t="s">
        <v>249</v>
      </c>
      <c r="J467" s="16" t="s">
        <v>1675</v>
      </c>
      <c r="K467" s="16" t="s">
        <v>1111</v>
      </c>
      <c r="L467" s="501">
        <v>12.5</v>
      </c>
      <c r="M467" s="501">
        <v>12.5</v>
      </c>
      <c r="N467" s="523"/>
      <c r="O467" s="523" t="s">
        <v>1675</v>
      </c>
      <c r="P467" s="13" t="s">
        <v>268</v>
      </c>
      <c r="T467" s="18"/>
      <c r="U467" s="18"/>
      <c r="V467" s="18"/>
      <c r="W467" s="18"/>
      <c r="X467" s="18"/>
      <c r="Y467" s="18"/>
      <c r="Z467" s="21"/>
    </row>
    <row r="468" spans="3:26">
      <c r="C468" s="48" t="s">
        <v>1222</v>
      </c>
      <c r="D468" s="48" t="s">
        <v>1222</v>
      </c>
      <c r="E468" s="18" t="s">
        <v>1217</v>
      </c>
      <c r="F468" s="522" t="s">
        <v>511</v>
      </c>
      <c r="G468" s="284" t="s">
        <v>1879</v>
      </c>
      <c r="H468" s="285" t="s">
        <v>219</v>
      </c>
      <c r="I468" s="13" t="s">
        <v>249</v>
      </c>
      <c r="J468" s="16" t="s">
        <v>1210</v>
      </c>
      <c r="K468" s="16" t="s">
        <v>1112</v>
      </c>
      <c r="L468" s="501">
        <v>12.5</v>
      </c>
      <c r="M468" s="501">
        <v>12.5</v>
      </c>
      <c r="N468" s="523"/>
      <c r="O468" s="523"/>
      <c r="P468" s="13" t="s">
        <v>268</v>
      </c>
      <c r="T468" s="18"/>
      <c r="U468" s="18"/>
      <c r="V468" s="18"/>
      <c r="W468" s="18"/>
      <c r="X468" s="18"/>
      <c r="Y468" s="18"/>
      <c r="Z468" s="21"/>
    </row>
    <row r="469" spans="3:26">
      <c r="C469" s="48" t="s">
        <v>1222</v>
      </c>
      <c r="D469" s="48" t="s">
        <v>1222</v>
      </c>
      <c r="E469" s="18" t="s">
        <v>1217</v>
      </c>
      <c r="F469" s="522" t="s">
        <v>511</v>
      </c>
      <c r="G469" s="284" t="s">
        <v>1879</v>
      </c>
      <c r="H469" s="285" t="s">
        <v>219</v>
      </c>
      <c r="I469" s="13" t="s">
        <v>249</v>
      </c>
      <c r="J469" s="16" t="s">
        <v>1211</v>
      </c>
      <c r="K469" s="16" t="s">
        <v>1113</v>
      </c>
      <c r="L469" s="501">
        <v>12.5</v>
      </c>
      <c r="M469" s="501">
        <v>12.5</v>
      </c>
      <c r="N469" s="523"/>
      <c r="O469" s="523"/>
      <c r="P469" s="13" t="s">
        <v>268</v>
      </c>
      <c r="Q469" s="13" t="s">
        <v>269</v>
      </c>
      <c r="R469" s="13" t="s">
        <v>460</v>
      </c>
      <c r="S469" s="18" t="s">
        <v>360</v>
      </c>
      <c r="T469" s="18">
        <v>0</v>
      </c>
      <c r="U469" s="18"/>
      <c r="V469" s="18"/>
      <c r="W469" s="18">
        <f t="shared" si="11"/>
        <v>0</v>
      </c>
      <c r="X469" s="18"/>
      <c r="Y469" s="18"/>
      <c r="Z469" s="21"/>
    </row>
    <row r="470" spans="3:26">
      <c r="C470" s="48" t="s">
        <v>1222</v>
      </c>
      <c r="D470" s="48" t="s">
        <v>1222</v>
      </c>
      <c r="E470" s="18" t="s">
        <v>1217</v>
      </c>
      <c r="F470" s="522" t="s">
        <v>511</v>
      </c>
      <c r="G470" s="284"/>
      <c r="H470" s="285" t="s">
        <v>219</v>
      </c>
      <c r="I470" s="13" t="s">
        <v>355</v>
      </c>
      <c r="J470" s="503" t="s">
        <v>470</v>
      </c>
      <c r="K470" s="503"/>
      <c r="L470" s="503">
        <v>4.88</v>
      </c>
      <c r="M470" s="503">
        <v>4.88</v>
      </c>
      <c r="N470" s="505"/>
      <c r="O470" s="505"/>
      <c r="P470" s="13" t="s">
        <v>268</v>
      </c>
      <c r="Q470" s="13" t="s">
        <v>269</v>
      </c>
      <c r="R470" s="13" t="s">
        <v>460</v>
      </c>
      <c r="S470" s="18" t="s">
        <v>360</v>
      </c>
      <c r="T470" s="18">
        <v>0</v>
      </c>
      <c r="U470" s="18"/>
      <c r="V470" s="18"/>
      <c r="W470" s="18">
        <f t="shared" si="11"/>
        <v>0</v>
      </c>
      <c r="X470" s="18"/>
      <c r="Y470" s="18"/>
      <c r="Z470" s="21"/>
    </row>
    <row r="471" spans="3:26">
      <c r="C471" s="48" t="s">
        <v>1222</v>
      </c>
      <c r="D471" s="48" t="s">
        <v>1222</v>
      </c>
      <c r="E471" s="18" t="s">
        <v>1217</v>
      </c>
      <c r="F471" s="522" t="s">
        <v>511</v>
      </c>
      <c r="G471" s="284"/>
      <c r="H471" s="285" t="s">
        <v>219</v>
      </c>
      <c r="I471" s="13" t="s">
        <v>192</v>
      </c>
      <c r="J471" s="503" t="s">
        <v>604</v>
      </c>
      <c r="K471" s="503"/>
      <c r="L471" s="503">
        <v>5.4</v>
      </c>
      <c r="M471" s="503">
        <v>5.4</v>
      </c>
      <c r="N471" s="505"/>
      <c r="O471" s="505"/>
      <c r="P471" s="13" t="s">
        <v>572</v>
      </c>
      <c r="Q471" s="13" t="s">
        <v>572</v>
      </c>
      <c r="R471" s="13" t="s">
        <v>459</v>
      </c>
      <c r="S471" s="18" t="s">
        <v>100</v>
      </c>
      <c r="T471" s="18">
        <v>0</v>
      </c>
      <c r="U471" s="18"/>
      <c r="V471" s="18"/>
      <c r="W471" s="18">
        <f t="shared" si="11"/>
        <v>0</v>
      </c>
      <c r="X471" s="18"/>
      <c r="Y471" s="18"/>
      <c r="Z471" s="21"/>
    </row>
    <row r="472" spans="3:26">
      <c r="C472" s="48" t="s">
        <v>1222</v>
      </c>
      <c r="D472" s="48" t="s">
        <v>1222</v>
      </c>
      <c r="E472" s="18" t="s">
        <v>1217</v>
      </c>
      <c r="F472" s="522" t="s">
        <v>511</v>
      </c>
      <c r="G472" s="284"/>
      <c r="H472" s="285" t="s">
        <v>219</v>
      </c>
      <c r="I472" s="13" t="s">
        <v>192</v>
      </c>
      <c r="J472" s="503" t="s">
        <v>471</v>
      </c>
      <c r="K472" s="503"/>
      <c r="L472" s="503">
        <v>5.4</v>
      </c>
      <c r="M472" s="503">
        <v>5.4</v>
      </c>
      <c r="N472" s="505"/>
      <c r="O472" s="505"/>
      <c r="P472" s="13" t="s">
        <v>572</v>
      </c>
      <c r="Q472" s="13" t="s">
        <v>572</v>
      </c>
      <c r="R472" s="13" t="s">
        <v>459</v>
      </c>
      <c r="S472" s="18" t="s">
        <v>100</v>
      </c>
      <c r="T472" s="18">
        <v>0</v>
      </c>
      <c r="U472" s="18"/>
      <c r="V472" s="18"/>
      <c r="W472" s="18">
        <f t="shared" si="11"/>
        <v>0</v>
      </c>
      <c r="X472" s="18"/>
      <c r="Y472" s="18"/>
      <c r="Z472" s="21"/>
    </row>
    <row r="473" spans="3:26">
      <c r="C473" s="48" t="s">
        <v>1222</v>
      </c>
      <c r="D473" s="48" t="s">
        <v>1222</v>
      </c>
      <c r="E473" s="18" t="s">
        <v>1217</v>
      </c>
      <c r="F473" s="522" t="s">
        <v>511</v>
      </c>
      <c r="G473" s="284"/>
      <c r="H473" s="285" t="s">
        <v>219</v>
      </c>
      <c r="I473" s="13" t="s">
        <v>192</v>
      </c>
      <c r="J473" s="503" t="s">
        <v>368</v>
      </c>
      <c r="K473" s="503"/>
      <c r="L473" s="503">
        <v>10.85</v>
      </c>
      <c r="M473" s="503">
        <v>10.85</v>
      </c>
      <c r="N473" s="505"/>
      <c r="O473" s="505"/>
      <c r="P473" s="13" t="s">
        <v>572</v>
      </c>
      <c r="Q473" s="13" t="s">
        <v>572</v>
      </c>
      <c r="R473" s="13" t="s">
        <v>459</v>
      </c>
      <c r="S473" s="18" t="s">
        <v>100</v>
      </c>
      <c r="T473" s="18">
        <v>0</v>
      </c>
      <c r="U473" s="18"/>
      <c r="V473" s="18"/>
      <c r="W473" s="18">
        <f t="shared" si="11"/>
        <v>0</v>
      </c>
      <c r="X473" s="18"/>
      <c r="Y473" s="18"/>
      <c r="Z473" s="21"/>
    </row>
    <row r="474" spans="3:26">
      <c r="C474" s="48" t="s">
        <v>1222</v>
      </c>
      <c r="D474" s="48" t="s">
        <v>1222</v>
      </c>
      <c r="E474" s="18" t="s">
        <v>1217</v>
      </c>
      <c r="F474" s="522" t="s">
        <v>511</v>
      </c>
      <c r="G474" s="284"/>
      <c r="H474" s="285" t="s">
        <v>219</v>
      </c>
      <c r="I474" s="13" t="s">
        <v>27</v>
      </c>
      <c r="J474" s="503" t="s">
        <v>1397</v>
      </c>
      <c r="K474" s="503"/>
      <c r="L474" s="503">
        <v>3</v>
      </c>
      <c r="M474" s="503">
        <v>3</v>
      </c>
      <c r="N474" s="505"/>
      <c r="O474" s="505"/>
      <c r="P474" s="13" t="s">
        <v>572</v>
      </c>
      <c r="Q474" s="13" t="s">
        <v>572</v>
      </c>
      <c r="R474" s="13" t="s">
        <v>459</v>
      </c>
      <c r="S474" s="18" t="s">
        <v>100</v>
      </c>
      <c r="T474" s="18">
        <v>0</v>
      </c>
      <c r="U474" s="18"/>
      <c r="V474" s="18"/>
      <c r="W474" s="18">
        <f t="shared" si="11"/>
        <v>0</v>
      </c>
      <c r="X474" s="18"/>
      <c r="Y474" s="18"/>
      <c r="Z474" s="21"/>
    </row>
    <row r="475" spans="3:26">
      <c r="C475" s="48" t="s">
        <v>1222</v>
      </c>
      <c r="D475" s="48" t="s">
        <v>1222</v>
      </c>
      <c r="E475" s="18" t="s">
        <v>1217</v>
      </c>
      <c r="F475" s="522" t="s">
        <v>511</v>
      </c>
      <c r="G475" s="284"/>
      <c r="H475" s="285" t="s">
        <v>219</v>
      </c>
      <c r="I475" s="13" t="s">
        <v>192</v>
      </c>
      <c r="J475" s="503" t="s">
        <v>367</v>
      </c>
      <c r="K475" s="503"/>
      <c r="L475" s="503">
        <v>9.32</v>
      </c>
      <c r="M475" s="503">
        <v>9.32</v>
      </c>
      <c r="N475" s="505"/>
      <c r="O475" s="505"/>
      <c r="P475" s="13" t="s">
        <v>572</v>
      </c>
      <c r="Q475" s="13" t="s">
        <v>572</v>
      </c>
      <c r="R475" s="13" t="s">
        <v>459</v>
      </c>
      <c r="S475" s="18" t="s">
        <v>100</v>
      </c>
      <c r="T475" s="18">
        <v>0</v>
      </c>
      <c r="U475" s="18"/>
      <c r="V475" s="18"/>
      <c r="W475" s="18">
        <f t="shared" si="11"/>
        <v>0</v>
      </c>
      <c r="X475" s="18"/>
      <c r="Y475" s="18"/>
      <c r="Z475" s="21"/>
    </row>
    <row r="476" spans="3:26">
      <c r="C476" s="48" t="s">
        <v>1222</v>
      </c>
      <c r="D476" s="48" t="s">
        <v>1222</v>
      </c>
      <c r="E476" s="18" t="s">
        <v>1217</v>
      </c>
      <c r="F476" s="522" t="s">
        <v>511</v>
      </c>
      <c r="G476" s="284"/>
      <c r="H476" s="285" t="s">
        <v>219</v>
      </c>
      <c r="I476" s="13" t="s">
        <v>194</v>
      </c>
      <c r="J476" s="503" t="s">
        <v>194</v>
      </c>
      <c r="K476" s="503"/>
      <c r="L476" s="503">
        <v>108.96</v>
      </c>
      <c r="M476" s="503">
        <v>108.96</v>
      </c>
      <c r="N476" s="505"/>
      <c r="O476" s="505"/>
      <c r="P476" s="13" t="s">
        <v>268</v>
      </c>
      <c r="Q476" s="13" t="s">
        <v>269</v>
      </c>
      <c r="R476" s="13" t="s">
        <v>460</v>
      </c>
      <c r="T476" s="18"/>
      <c r="U476" s="18"/>
      <c r="V476" s="18"/>
      <c r="W476" s="18"/>
      <c r="X476" s="18"/>
      <c r="Y476" s="18"/>
      <c r="Z476" s="21"/>
    </row>
    <row r="477" spans="3:26">
      <c r="C477" s="48" t="s">
        <v>1222</v>
      </c>
      <c r="D477" s="48" t="s">
        <v>1222</v>
      </c>
      <c r="E477" s="18" t="s">
        <v>1217</v>
      </c>
      <c r="F477" s="522" t="s">
        <v>511</v>
      </c>
      <c r="G477" s="284" t="s">
        <v>388</v>
      </c>
      <c r="H477" s="285" t="s">
        <v>234</v>
      </c>
      <c r="I477" s="13" t="s">
        <v>248</v>
      </c>
      <c r="J477" s="16" t="s">
        <v>366</v>
      </c>
      <c r="K477" s="16" t="s">
        <v>477</v>
      </c>
      <c r="L477" s="16">
        <v>73.78</v>
      </c>
      <c r="M477" s="16">
        <v>73.78</v>
      </c>
      <c r="N477" s="523">
        <v>50</v>
      </c>
      <c r="O477" s="523" t="s">
        <v>76</v>
      </c>
      <c r="P477" s="13" t="s">
        <v>268</v>
      </c>
      <c r="Q477" s="13" t="s">
        <v>269</v>
      </c>
      <c r="R477" s="13" t="s">
        <v>460</v>
      </c>
      <c r="S477" s="18" t="s">
        <v>360</v>
      </c>
      <c r="T477" s="18">
        <v>0</v>
      </c>
      <c r="U477" s="18"/>
      <c r="V477" s="18"/>
      <c r="W477" s="18">
        <f t="shared" si="11"/>
        <v>0</v>
      </c>
      <c r="X477" s="18"/>
      <c r="Y477" s="18"/>
      <c r="Z477" s="21"/>
    </row>
    <row r="478" spans="3:26">
      <c r="C478" s="48" t="s">
        <v>1222</v>
      </c>
      <c r="D478" s="48" t="s">
        <v>1222</v>
      </c>
      <c r="E478" s="18" t="s">
        <v>1217</v>
      </c>
      <c r="F478" s="522" t="s">
        <v>511</v>
      </c>
      <c r="G478" s="284" t="s">
        <v>388</v>
      </c>
      <c r="H478" s="285" t="s">
        <v>234</v>
      </c>
      <c r="I478" s="13" t="s">
        <v>248</v>
      </c>
      <c r="J478" s="16" t="s">
        <v>366</v>
      </c>
      <c r="K478" s="16" t="s">
        <v>478</v>
      </c>
      <c r="L478" s="16">
        <v>73.78</v>
      </c>
      <c r="M478" s="16">
        <v>73.78</v>
      </c>
      <c r="N478" s="523">
        <v>50</v>
      </c>
      <c r="O478" s="523" t="s">
        <v>76</v>
      </c>
      <c r="P478" s="13" t="s">
        <v>268</v>
      </c>
      <c r="Q478" s="13" t="s">
        <v>269</v>
      </c>
      <c r="R478" s="13" t="s">
        <v>460</v>
      </c>
      <c r="S478" s="18" t="s">
        <v>360</v>
      </c>
      <c r="T478" s="18">
        <v>0</v>
      </c>
      <c r="U478" s="18"/>
      <c r="V478" s="18"/>
      <c r="W478" s="18">
        <f t="shared" si="11"/>
        <v>0</v>
      </c>
      <c r="X478" s="18"/>
      <c r="Y478" s="18"/>
      <c r="Z478" s="21"/>
    </row>
    <row r="479" spans="3:26">
      <c r="C479" s="48" t="s">
        <v>1222</v>
      </c>
      <c r="D479" s="48" t="s">
        <v>1222</v>
      </c>
      <c r="E479" s="18" t="s">
        <v>1217</v>
      </c>
      <c r="F479" s="522" t="s">
        <v>511</v>
      </c>
      <c r="G479" s="284" t="s">
        <v>388</v>
      </c>
      <c r="H479" s="285" t="s">
        <v>234</v>
      </c>
      <c r="I479" s="13" t="s">
        <v>248</v>
      </c>
      <c r="J479" s="16" t="s">
        <v>366</v>
      </c>
      <c r="K479" s="16" t="s">
        <v>479</v>
      </c>
      <c r="L479" s="16">
        <v>73.78</v>
      </c>
      <c r="M479" s="16">
        <v>73.78</v>
      </c>
      <c r="N479" s="523">
        <v>50</v>
      </c>
      <c r="O479" s="523" t="s">
        <v>76</v>
      </c>
      <c r="P479" s="13" t="s">
        <v>268</v>
      </c>
      <c r="Q479" s="13" t="s">
        <v>269</v>
      </c>
      <c r="R479" s="13" t="s">
        <v>460</v>
      </c>
      <c r="S479" s="18" t="s">
        <v>360</v>
      </c>
      <c r="T479" s="18">
        <v>0</v>
      </c>
      <c r="U479" s="18"/>
      <c r="V479" s="18"/>
      <c r="W479" s="18">
        <f t="shared" si="11"/>
        <v>0</v>
      </c>
      <c r="X479" s="18"/>
      <c r="Y479" s="18"/>
      <c r="Z479" s="21"/>
    </row>
    <row r="480" spans="3:26">
      <c r="C480" s="48" t="s">
        <v>1222</v>
      </c>
      <c r="D480" s="48" t="s">
        <v>1222</v>
      </c>
      <c r="E480" s="18" t="s">
        <v>1217</v>
      </c>
      <c r="F480" s="522" t="s">
        <v>511</v>
      </c>
      <c r="G480" s="284" t="s">
        <v>388</v>
      </c>
      <c r="H480" s="285" t="s">
        <v>234</v>
      </c>
      <c r="I480" s="13" t="s">
        <v>248</v>
      </c>
      <c r="J480" s="16" t="s">
        <v>366</v>
      </c>
      <c r="K480" s="16" t="s">
        <v>480</v>
      </c>
      <c r="L480" s="16">
        <v>58.75</v>
      </c>
      <c r="M480" s="16">
        <v>58.75</v>
      </c>
      <c r="N480" s="523">
        <v>40</v>
      </c>
      <c r="O480" s="523" t="s">
        <v>76</v>
      </c>
      <c r="P480" s="13" t="s">
        <v>268</v>
      </c>
      <c r="Q480" s="13" t="s">
        <v>269</v>
      </c>
      <c r="R480" s="13" t="s">
        <v>460</v>
      </c>
      <c r="S480" s="18" t="s">
        <v>360</v>
      </c>
      <c r="T480" s="18">
        <v>0</v>
      </c>
      <c r="U480" s="18"/>
      <c r="V480" s="18"/>
      <c r="W480" s="18">
        <f t="shared" si="11"/>
        <v>0</v>
      </c>
      <c r="X480" s="18"/>
      <c r="Y480" s="18"/>
      <c r="Z480" s="21"/>
    </row>
    <row r="481" spans="3:26">
      <c r="C481" s="48" t="s">
        <v>1222</v>
      </c>
      <c r="D481" s="48" t="s">
        <v>1222</v>
      </c>
      <c r="E481" s="18" t="s">
        <v>1217</v>
      </c>
      <c r="F481" s="522" t="s">
        <v>511</v>
      </c>
      <c r="G481" s="284" t="s">
        <v>388</v>
      </c>
      <c r="H481" s="285" t="s">
        <v>234</v>
      </c>
      <c r="I481" s="13" t="s">
        <v>248</v>
      </c>
      <c r="J481" s="16" t="s">
        <v>366</v>
      </c>
      <c r="K481" s="16" t="s">
        <v>481</v>
      </c>
      <c r="L481" s="16">
        <v>88.67</v>
      </c>
      <c r="M481" s="16">
        <v>88.67</v>
      </c>
      <c r="N481" s="523">
        <v>60</v>
      </c>
      <c r="O481" s="523" t="s">
        <v>76</v>
      </c>
      <c r="P481" s="13" t="s">
        <v>268</v>
      </c>
      <c r="Q481" s="13" t="s">
        <v>269</v>
      </c>
      <c r="R481" s="13" t="s">
        <v>460</v>
      </c>
      <c r="S481" s="18" t="s">
        <v>360</v>
      </c>
      <c r="T481" s="18">
        <v>0</v>
      </c>
      <c r="U481" s="18"/>
      <c r="V481" s="18"/>
      <c r="W481" s="18">
        <f t="shared" si="11"/>
        <v>0</v>
      </c>
      <c r="X481" s="18"/>
      <c r="Y481" s="18"/>
      <c r="Z481" s="21"/>
    </row>
    <row r="482" spans="3:26">
      <c r="C482" s="48" t="s">
        <v>1222</v>
      </c>
      <c r="D482" s="48" t="s">
        <v>1222</v>
      </c>
      <c r="E482" s="18" t="s">
        <v>1217</v>
      </c>
      <c r="F482" s="522" t="s">
        <v>511</v>
      </c>
      <c r="G482" s="284"/>
      <c r="H482" s="285" t="s">
        <v>234</v>
      </c>
      <c r="I482" s="13" t="s">
        <v>355</v>
      </c>
      <c r="J482" s="503" t="s">
        <v>470</v>
      </c>
      <c r="K482" s="503"/>
      <c r="L482" s="503">
        <v>4.88</v>
      </c>
      <c r="M482" s="503">
        <v>4.88</v>
      </c>
      <c r="N482" s="505"/>
      <c r="O482" s="505"/>
      <c r="P482" s="13" t="s">
        <v>268</v>
      </c>
      <c r="Q482" s="13" t="s">
        <v>269</v>
      </c>
      <c r="R482" s="13" t="s">
        <v>460</v>
      </c>
      <c r="S482" s="18" t="s">
        <v>360</v>
      </c>
      <c r="T482" s="18">
        <v>0</v>
      </c>
      <c r="U482" s="18"/>
      <c r="V482" s="18"/>
      <c r="W482" s="18">
        <f t="shared" si="11"/>
        <v>0</v>
      </c>
      <c r="X482" s="18"/>
      <c r="Y482" s="18"/>
      <c r="Z482" s="21"/>
    </row>
    <row r="483" spans="3:26">
      <c r="C483" s="48" t="s">
        <v>1222</v>
      </c>
      <c r="D483" s="48" t="s">
        <v>1222</v>
      </c>
      <c r="E483" s="18" t="s">
        <v>1217</v>
      </c>
      <c r="F483" s="522" t="s">
        <v>511</v>
      </c>
      <c r="G483" s="284"/>
      <c r="H483" s="285" t="s">
        <v>234</v>
      </c>
      <c r="I483" s="13" t="s">
        <v>192</v>
      </c>
      <c r="J483" s="503" t="s">
        <v>604</v>
      </c>
      <c r="K483" s="503"/>
      <c r="L483" s="503">
        <v>5.4</v>
      </c>
      <c r="M483" s="503">
        <v>5.4</v>
      </c>
      <c r="N483" s="505"/>
      <c r="O483" s="505"/>
      <c r="P483" s="13" t="s">
        <v>572</v>
      </c>
      <c r="Q483" s="13" t="s">
        <v>572</v>
      </c>
      <c r="R483" s="13" t="s">
        <v>459</v>
      </c>
      <c r="S483" s="18" t="s">
        <v>100</v>
      </c>
      <c r="T483" s="18">
        <v>0</v>
      </c>
      <c r="U483" s="18"/>
      <c r="V483" s="18"/>
      <c r="W483" s="18">
        <f t="shared" si="11"/>
        <v>0</v>
      </c>
      <c r="X483" s="18"/>
      <c r="Y483" s="18"/>
      <c r="Z483" s="21"/>
    </row>
    <row r="484" spans="3:26">
      <c r="C484" s="48" t="s">
        <v>1222</v>
      </c>
      <c r="D484" s="48" t="s">
        <v>1222</v>
      </c>
      <c r="E484" s="18" t="s">
        <v>1217</v>
      </c>
      <c r="F484" s="522" t="s">
        <v>511</v>
      </c>
      <c r="G484" s="284"/>
      <c r="H484" s="285" t="s">
        <v>234</v>
      </c>
      <c r="I484" s="13" t="s">
        <v>192</v>
      </c>
      <c r="J484" s="503" t="s">
        <v>471</v>
      </c>
      <c r="K484" s="503"/>
      <c r="L484" s="503">
        <v>5.4</v>
      </c>
      <c r="M484" s="503">
        <v>5.4</v>
      </c>
      <c r="N484" s="505"/>
      <c r="O484" s="505"/>
      <c r="P484" s="13" t="s">
        <v>572</v>
      </c>
      <c r="Q484" s="13" t="s">
        <v>572</v>
      </c>
      <c r="R484" s="13" t="s">
        <v>459</v>
      </c>
      <c r="S484" s="18" t="s">
        <v>100</v>
      </c>
      <c r="T484" s="18">
        <v>0</v>
      </c>
      <c r="U484" s="18"/>
      <c r="V484" s="18"/>
      <c r="W484" s="18">
        <f t="shared" si="11"/>
        <v>0</v>
      </c>
      <c r="X484" s="18"/>
      <c r="Y484" s="18"/>
      <c r="Z484" s="21"/>
    </row>
    <row r="485" spans="3:26">
      <c r="C485" s="48" t="s">
        <v>1222</v>
      </c>
      <c r="D485" s="48" t="s">
        <v>1222</v>
      </c>
      <c r="E485" s="18" t="s">
        <v>1217</v>
      </c>
      <c r="F485" s="522" t="s">
        <v>511</v>
      </c>
      <c r="G485" s="284"/>
      <c r="H485" s="285" t="s">
        <v>234</v>
      </c>
      <c r="I485" s="13" t="s">
        <v>192</v>
      </c>
      <c r="J485" s="503" t="s">
        <v>368</v>
      </c>
      <c r="K485" s="503"/>
      <c r="L485" s="503">
        <v>10.85</v>
      </c>
      <c r="M485" s="503">
        <v>10.85</v>
      </c>
      <c r="N485" s="505"/>
      <c r="O485" s="505"/>
      <c r="P485" s="13" t="s">
        <v>572</v>
      </c>
      <c r="Q485" s="13" t="s">
        <v>572</v>
      </c>
      <c r="R485" s="13" t="s">
        <v>459</v>
      </c>
      <c r="S485" s="18" t="s">
        <v>100</v>
      </c>
      <c r="T485" s="18">
        <v>0</v>
      </c>
      <c r="U485" s="18"/>
      <c r="V485" s="18"/>
      <c r="W485" s="18">
        <f t="shared" si="11"/>
        <v>0</v>
      </c>
      <c r="X485" s="18"/>
      <c r="Y485" s="18"/>
      <c r="Z485" s="21"/>
    </row>
    <row r="486" spans="3:26">
      <c r="C486" s="48" t="s">
        <v>1222</v>
      </c>
      <c r="D486" s="48" t="s">
        <v>1222</v>
      </c>
      <c r="E486" s="18" t="s">
        <v>1217</v>
      </c>
      <c r="F486" s="522" t="s">
        <v>511</v>
      </c>
      <c r="G486" s="284"/>
      <c r="H486" s="285" t="s">
        <v>234</v>
      </c>
      <c r="I486" s="13" t="s">
        <v>27</v>
      </c>
      <c r="J486" s="503" t="s">
        <v>1397</v>
      </c>
      <c r="K486" s="503"/>
      <c r="L486" s="503">
        <v>3</v>
      </c>
      <c r="M486" s="503">
        <v>3</v>
      </c>
      <c r="N486" s="505"/>
      <c r="O486" s="505"/>
      <c r="P486" s="13" t="s">
        <v>572</v>
      </c>
      <c r="Q486" s="13" t="s">
        <v>572</v>
      </c>
      <c r="R486" s="13" t="s">
        <v>459</v>
      </c>
      <c r="S486" s="18" t="s">
        <v>100</v>
      </c>
      <c r="T486" s="18">
        <v>0</v>
      </c>
      <c r="U486" s="18"/>
      <c r="V486" s="18"/>
      <c r="W486" s="18">
        <f t="shared" si="11"/>
        <v>0</v>
      </c>
      <c r="X486" s="18"/>
      <c r="Y486" s="18"/>
      <c r="Z486" s="21"/>
    </row>
    <row r="487" spans="3:26">
      <c r="C487" s="48" t="s">
        <v>1222</v>
      </c>
      <c r="D487" s="48" t="s">
        <v>1222</v>
      </c>
      <c r="E487" s="18" t="s">
        <v>1217</v>
      </c>
      <c r="F487" s="522" t="s">
        <v>511</v>
      </c>
      <c r="G487" s="284"/>
      <c r="H487" s="285" t="s">
        <v>234</v>
      </c>
      <c r="I487" s="13" t="s">
        <v>192</v>
      </c>
      <c r="J487" s="503" t="s">
        <v>367</v>
      </c>
      <c r="K487" s="503"/>
      <c r="L487" s="503">
        <v>9.32</v>
      </c>
      <c r="M487" s="503">
        <v>9.32</v>
      </c>
      <c r="N487" s="505"/>
      <c r="O487" s="505"/>
      <c r="P487" s="13" t="s">
        <v>572</v>
      </c>
      <c r="Q487" s="13" t="s">
        <v>572</v>
      </c>
      <c r="R487" s="13" t="s">
        <v>459</v>
      </c>
      <c r="S487" s="18" t="s">
        <v>100</v>
      </c>
      <c r="T487" s="18">
        <v>0</v>
      </c>
      <c r="U487" s="18"/>
      <c r="V487" s="18"/>
      <c r="W487" s="18">
        <f t="shared" si="11"/>
        <v>0</v>
      </c>
      <c r="X487" s="18"/>
      <c r="Y487" s="18"/>
      <c r="Z487" s="21"/>
    </row>
    <row r="488" spans="3:26">
      <c r="C488" s="48" t="s">
        <v>1222</v>
      </c>
      <c r="D488" s="48" t="s">
        <v>1222</v>
      </c>
      <c r="E488" s="18" t="s">
        <v>1217</v>
      </c>
      <c r="F488" s="522" t="s">
        <v>511</v>
      </c>
      <c r="G488" s="284"/>
      <c r="H488" s="285" t="s">
        <v>234</v>
      </c>
      <c r="I488" s="13" t="s">
        <v>194</v>
      </c>
      <c r="J488" s="503" t="s">
        <v>194</v>
      </c>
      <c r="K488" s="503"/>
      <c r="L488" s="503">
        <v>95.85</v>
      </c>
      <c r="M488" s="503">
        <v>95.85</v>
      </c>
      <c r="N488" s="505"/>
      <c r="O488" s="505"/>
      <c r="P488" s="13" t="s">
        <v>268</v>
      </c>
      <c r="Q488" s="13" t="s">
        <v>269</v>
      </c>
      <c r="R488" s="13" t="s">
        <v>460</v>
      </c>
      <c r="T488" s="18"/>
      <c r="U488" s="18"/>
      <c r="V488" s="18"/>
      <c r="W488" s="18"/>
      <c r="X488" s="18"/>
      <c r="Y488" s="18"/>
      <c r="Z488" s="21"/>
    </row>
    <row r="489" spans="3:26">
      <c r="C489" s="48" t="s">
        <v>1222</v>
      </c>
      <c r="D489" s="48" t="s">
        <v>1222</v>
      </c>
      <c r="E489" s="18" t="s">
        <v>1217</v>
      </c>
      <c r="F489" s="522" t="s">
        <v>511</v>
      </c>
      <c r="G489" s="284" t="s">
        <v>1879</v>
      </c>
      <c r="H489" s="285" t="s">
        <v>239</v>
      </c>
      <c r="I489" s="13" t="s">
        <v>1371</v>
      </c>
      <c r="J489" s="523" t="s">
        <v>1676</v>
      </c>
      <c r="K489" s="16" t="s">
        <v>482</v>
      </c>
      <c r="L489" s="501">
        <v>18.2</v>
      </c>
      <c r="M489" s="501">
        <v>18.2</v>
      </c>
      <c r="N489" s="523">
        <v>50</v>
      </c>
      <c r="O489" s="523" t="s">
        <v>1676</v>
      </c>
      <c r="P489" s="13" t="s">
        <v>268</v>
      </c>
      <c r="Q489" s="13" t="s">
        <v>269</v>
      </c>
      <c r="R489" s="13" t="s">
        <v>460</v>
      </c>
      <c r="S489" s="18" t="s">
        <v>360</v>
      </c>
      <c r="T489" s="18">
        <v>0</v>
      </c>
      <c r="U489" s="18"/>
      <c r="V489" s="18"/>
      <c r="W489" s="18">
        <f t="shared" si="11"/>
        <v>0</v>
      </c>
      <c r="X489" s="18"/>
      <c r="Y489" s="18"/>
      <c r="Z489" s="21"/>
    </row>
    <row r="490" spans="3:26">
      <c r="C490" s="48" t="s">
        <v>1222</v>
      </c>
      <c r="D490" s="48" t="s">
        <v>1222</v>
      </c>
      <c r="E490" s="18" t="s">
        <v>1217</v>
      </c>
      <c r="F490" s="522" t="s">
        <v>511</v>
      </c>
      <c r="G490" s="284" t="s">
        <v>1879</v>
      </c>
      <c r="H490" s="285" t="s">
        <v>239</v>
      </c>
      <c r="I490" s="13" t="s">
        <v>1371</v>
      </c>
      <c r="J490" s="523" t="s">
        <v>1677</v>
      </c>
      <c r="K490" s="16" t="s">
        <v>483</v>
      </c>
      <c r="L490" s="501">
        <v>18.2</v>
      </c>
      <c r="M490" s="501">
        <v>18.2</v>
      </c>
      <c r="N490" s="523"/>
      <c r="O490" s="523" t="s">
        <v>1677</v>
      </c>
      <c r="P490" s="13" t="s">
        <v>268</v>
      </c>
      <c r="T490" s="18"/>
      <c r="U490" s="18"/>
      <c r="V490" s="18"/>
      <c r="W490" s="18"/>
      <c r="X490" s="18"/>
      <c r="Y490" s="18"/>
      <c r="Z490" s="21"/>
    </row>
    <row r="491" spans="3:26">
      <c r="C491" s="48" t="s">
        <v>1222</v>
      </c>
      <c r="D491" s="48" t="s">
        <v>1222</v>
      </c>
      <c r="E491" s="18" t="s">
        <v>1217</v>
      </c>
      <c r="F491" s="522" t="s">
        <v>511</v>
      </c>
      <c r="G491" s="284" t="s">
        <v>1879</v>
      </c>
      <c r="H491" s="285" t="s">
        <v>239</v>
      </c>
      <c r="I491" s="13" t="s">
        <v>1371</v>
      </c>
      <c r="J491" s="523" t="s">
        <v>1678</v>
      </c>
      <c r="K491" s="16" t="s">
        <v>484</v>
      </c>
      <c r="L491" s="501">
        <v>18.2</v>
      </c>
      <c r="M491" s="501">
        <v>18.2</v>
      </c>
      <c r="N491" s="523"/>
      <c r="O491" s="523" t="s">
        <v>1678</v>
      </c>
      <c r="P491" s="13" t="s">
        <v>268</v>
      </c>
      <c r="T491" s="18"/>
      <c r="U491" s="18"/>
      <c r="V491" s="18"/>
      <c r="W491" s="18"/>
      <c r="X491" s="18"/>
      <c r="Y491" s="18"/>
      <c r="Z491" s="21"/>
    </row>
    <row r="492" spans="3:26">
      <c r="C492" s="48" t="s">
        <v>1222</v>
      </c>
      <c r="D492" s="48" t="s">
        <v>1222</v>
      </c>
      <c r="E492" s="18" t="s">
        <v>1217</v>
      </c>
      <c r="F492" s="522" t="s">
        <v>511</v>
      </c>
      <c r="G492" s="284" t="s">
        <v>1879</v>
      </c>
      <c r="H492" s="285" t="s">
        <v>239</v>
      </c>
      <c r="I492" s="13" t="s">
        <v>1371</v>
      </c>
      <c r="J492" s="523" t="s">
        <v>1679</v>
      </c>
      <c r="K492" s="16" t="s">
        <v>485</v>
      </c>
      <c r="L492" s="501">
        <v>18.2</v>
      </c>
      <c r="M492" s="501">
        <v>18.2</v>
      </c>
      <c r="N492" s="523"/>
      <c r="O492" s="523" t="s">
        <v>1679</v>
      </c>
      <c r="P492" s="13" t="s">
        <v>268</v>
      </c>
      <c r="T492" s="18"/>
      <c r="U492" s="18"/>
      <c r="V492" s="18"/>
      <c r="W492" s="18"/>
      <c r="X492" s="18"/>
      <c r="Y492" s="18"/>
      <c r="Z492" s="21"/>
    </row>
    <row r="493" spans="3:26">
      <c r="C493" s="48" t="s">
        <v>1222</v>
      </c>
      <c r="D493" s="48" t="s">
        <v>1222</v>
      </c>
      <c r="E493" s="18" t="s">
        <v>1217</v>
      </c>
      <c r="F493" s="522" t="s">
        <v>511</v>
      </c>
      <c r="G493" s="284" t="s">
        <v>1879</v>
      </c>
      <c r="H493" s="285" t="s">
        <v>239</v>
      </c>
      <c r="I493" s="13" t="s">
        <v>1371</v>
      </c>
      <c r="J493" s="523" t="s">
        <v>1680</v>
      </c>
      <c r="K493" s="16" t="s">
        <v>486</v>
      </c>
      <c r="L493" s="501">
        <v>18.2</v>
      </c>
      <c r="M493" s="501">
        <v>18.2</v>
      </c>
      <c r="N493" s="523">
        <v>50</v>
      </c>
      <c r="O493" s="523" t="s">
        <v>1680</v>
      </c>
      <c r="P493" s="13" t="s">
        <v>268</v>
      </c>
      <c r="Q493" s="13" t="s">
        <v>269</v>
      </c>
      <c r="R493" s="13" t="s">
        <v>460</v>
      </c>
      <c r="S493" s="18" t="s">
        <v>360</v>
      </c>
      <c r="T493" s="18">
        <v>0</v>
      </c>
      <c r="U493" s="18"/>
      <c r="V493" s="18"/>
      <c r="W493" s="18">
        <f t="shared" si="11"/>
        <v>0</v>
      </c>
      <c r="X493" s="18"/>
      <c r="Y493" s="18"/>
      <c r="Z493" s="21"/>
    </row>
    <row r="494" spans="3:26">
      <c r="C494" s="48" t="s">
        <v>1222</v>
      </c>
      <c r="D494" s="48" t="s">
        <v>1222</v>
      </c>
      <c r="E494" s="18" t="s">
        <v>1217</v>
      </c>
      <c r="F494" s="522" t="s">
        <v>511</v>
      </c>
      <c r="G494" s="284" t="s">
        <v>1879</v>
      </c>
      <c r="H494" s="285" t="s">
        <v>239</v>
      </c>
      <c r="I494" s="13" t="s">
        <v>1371</v>
      </c>
      <c r="J494" s="523" t="s">
        <v>1681</v>
      </c>
      <c r="K494" s="16" t="s">
        <v>1115</v>
      </c>
      <c r="L494" s="501">
        <v>18.2</v>
      </c>
      <c r="M494" s="501">
        <v>18.2</v>
      </c>
      <c r="N494" s="523"/>
      <c r="O494" s="523" t="s">
        <v>1681</v>
      </c>
      <c r="P494" s="13" t="s">
        <v>268</v>
      </c>
      <c r="T494" s="18"/>
      <c r="U494" s="18"/>
      <c r="V494" s="18"/>
      <c r="W494" s="18"/>
      <c r="X494" s="18"/>
      <c r="Y494" s="18"/>
      <c r="Z494" s="21"/>
    </row>
    <row r="495" spans="3:26">
      <c r="C495" s="48" t="s">
        <v>1222</v>
      </c>
      <c r="D495" s="48" t="s">
        <v>1222</v>
      </c>
      <c r="E495" s="18" t="s">
        <v>1217</v>
      </c>
      <c r="F495" s="522" t="s">
        <v>511</v>
      </c>
      <c r="G495" s="284" t="s">
        <v>1879</v>
      </c>
      <c r="H495" s="285" t="s">
        <v>239</v>
      </c>
      <c r="I495" s="13" t="s">
        <v>1371</v>
      </c>
      <c r="J495" s="523" t="s">
        <v>1682</v>
      </c>
      <c r="K495" s="16" t="s">
        <v>1116</v>
      </c>
      <c r="L495" s="501">
        <v>18.2</v>
      </c>
      <c r="M495" s="501">
        <v>18.2</v>
      </c>
      <c r="N495" s="523"/>
      <c r="O495" s="523" t="s">
        <v>1682</v>
      </c>
      <c r="P495" s="13" t="s">
        <v>268</v>
      </c>
      <c r="T495" s="18"/>
      <c r="U495" s="18"/>
      <c r="V495" s="18"/>
      <c r="W495" s="18"/>
      <c r="X495" s="18"/>
      <c r="Y495" s="18"/>
      <c r="Z495" s="21"/>
    </row>
    <row r="496" spans="3:26">
      <c r="C496" s="48" t="s">
        <v>1222</v>
      </c>
      <c r="D496" s="48" t="s">
        <v>1222</v>
      </c>
      <c r="E496" s="18" t="s">
        <v>1217</v>
      </c>
      <c r="F496" s="522" t="s">
        <v>511</v>
      </c>
      <c r="G496" s="284" t="s">
        <v>1879</v>
      </c>
      <c r="H496" s="285" t="s">
        <v>239</v>
      </c>
      <c r="I496" s="13" t="s">
        <v>1371</v>
      </c>
      <c r="J496" s="523" t="s">
        <v>1683</v>
      </c>
      <c r="K496" s="16" t="s">
        <v>1117</v>
      </c>
      <c r="L496" s="501">
        <v>18.2</v>
      </c>
      <c r="M496" s="501">
        <v>18.2</v>
      </c>
      <c r="N496" s="523"/>
      <c r="O496" s="523" t="s">
        <v>1683</v>
      </c>
      <c r="P496" s="13" t="s">
        <v>268</v>
      </c>
      <c r="T496" s="18"/>
      <c r="U496" s="18"/>
      <c r="V496" s="18"/>
      <c r="W496" s="18"/>
      <c r="X496" s="18"/>
      <c r="Y496" s="18"/>
      <c r="Z496" s="21"/>
    </row>
    <row r="497" spans="3:26">
      <c r="C497" s="48" t="s">
        <v>1222</v>
      </c>
      <c r="D497" s="48" t="s">
        <v>1222</v>
      </c>
      <c r="E497" s="18" t="s">
        <v>1217</v>
      </c>
      <c r="F497" s="522" t="s">
        <v>511</v>
      </c>
      <c r="G497" s="284" t="s">
        <v>1879</v>
      </c>
      <c r="H497" s="285" t="s">
        <v>239</v>
      </c>
      <c r="I497" s="13" t="s">
        <v>1371</v>
      </c>
      <c r="J497" s="523" t="s">
        <v>1684</v>
      </c>
      <c r="K497" s="16" t="s">
        <v>1118</v>
      </c>
      <c r="L497" s="501">
        <v>29</v>
      </c>
      <c r="M497" s="501">
        <v>29</v>
      </c>
      <c r="N497" s="523"/>
      <c r="O497" s="523" t="s">
        <v>1684</v>
      </c>
      <c r="P497" s="13" t="s">
        <v>268</v>
      </c>
      <c r="T497" s="18"/>
      <c r="U497" s="18"/>
      <c r="V497" s="18"/>
      <c r="W497" s="18"/>
      <c r="X497" s="18"/>
      <c r="Y497" s="18"/>
      <c r="Z497" s="21"/>
    </row>
    <row r="498" spans="3:26">
      <c r="C498" s="48" t="s">
        <v>1222</v>
      </c>
      <c r="D498" s="48" t="s">
        <v>1222</v>
      </c>
      <c r="E498" s="18" t="s">
        <v>1217</v>
      </c>
      <c r="F498" s="522" t="s">
        <v>511</v>
      </c>
      <c r="G498" s="284" t="s">
        <v>1879</v>
      </c>
      <c r="H498" s="285" t="s">
        <v>239</v>
      </c>
      <c r="I498" s="13" t="s">
        <v>1371</v>
      </c>
      <c r="J498" s="523" t="s">
        <v>1685</v>
      </c>
      <c r="K498" s="16" t="s">
        <v>1119</v>
      </c>
      <c r="L498" s="501">
        <v>44</v>
      </c>
      <c r="M498" s="501">
        <v>44</v>
      </c>
      <c r="N498" s="523">
        <v>50</v>
      </c>
      <c r="O498" s="523" t="s">
        <v>1685</v>
      </c>
      <c r="P498" s="13" t="s">
        <v>268</v>
      </c>
      <c r="Q498" s="13" t="s">
        <v>269</v>
      </c>
      <c r="R498" s="13" t="s">
        <v>460</v>
      </c>
      <c r="S498" s="18" t="s">
        <v>360</v>
      </c>
      <c r="T498" s="18">
        <v>0</v>
      </c>
      <c r="U498" s="18"/>
      <c r="V498" s="18"/>
      <c r="W498" s="18">
        <f t="shared" ref="W498:W576" si="12">AVERAGE(T498:V498)</f>
        <v>0</v>
      </c>
      <c r="X498" s="18"/>
      <c r="Y498" s="18"/>
      <c r="Z498" s="21"/>
    </row>
    <row r="499" spans="3:26">
      <c r="C499" s="48" t="s">
        <v>1222</v>
      </c>
      <c r="D499" s="48" t="s">
        <v>1222</v>
      </c>
      <c r="E499" s="18" t="s">
        <v>1217</v>
      </c>
      <c r="F499" s="522" t="s">
        <v>511</v>
      </c>
      <c r="G499" s="284" t="s">
        <v>1879</v>
      </c>
      <c r="H499" s="285" t="s">
        <v>239</v>
      </c>
      <c r="I499" s="13" t="s">
        <v>1371</v>
      </c>
      <c r="J499" s="523" t="s">
        <v>1686</v>
      </c>
      <c r="K499" s="16" t="s">
        <v>1120</v>
      </c>
      <c r="L499" s="501">
        <v>29</v>
      </c>
      <c r="M499" s="501">
        <v>29</v>
      </c>
      <c r="N499" s="523"/>
      <c r="O499" s="523" t="s">
        <v>1686</v>
      </c>
      <c r="P499" s="13" t="s">
        <v>268</v>
      </c>
      <c r="T499" s="18"/>
      <c r="U499" s="18"/>
      <c r="V499" s="18"/>
      <c r="W499" s="18"/>
      <c r="X499" s="18"/>
      <c r="Y499" s="18"/>
      <c r="Z499" s="21"/>
    </row>
    <row r="500" spans="3:26">
      <c r="C500" s="48" t="s">
        <v>1222</v>
      </c>
      <c r="D500" s="48" t="s">
        <v>1222</v>
      </c>
      <c r="E500" s="18" t="s">
        <v>1217</v>
      </c>
      <c r="F500" s="522" t="s">
        <v>511</v>
      </c>
      <c r="G500" s="284" t="s">
        <v>1879</v>
      </c>
      <c r="H500" s="285" t="s">
        <v>239</v>
      </c>
      <c r="I500" s="13" t="s">
        <v>1371</v>
      </c>
      <c r="J500" s="523" t="s">
        <v>1687</v>
      </c>
      <c r="K500" s="16" t="s">
        <v>1121</v>
      </c>
      <c r="L500" s="501">
        <v>29</v>
      </c>
      <c r="M500" s="501">
        <v>29</v>
      </c>
      <c r="N500" s="523">
        <v>40</v>
      </c>
      <c r="O500" s="523" t="s">
        <v>1687</v>
      </c>
      <c r="P500" s="13" t="s">
        <v>268</v>
      </c>
      <c r="Q500" s="13" t="s">
        <v>269</v>
      </c>
      <c r="R500" s="13" t="s">
        <v>460</v>
      </c>
      <c r="S500" s="18" t="s">
        <v>360</v>
      </c>
      <c r="T500" s="18">
        <v>0</v>
      </c>
      <c r="U500" s="18"/>
      <c r="V500" s="18"/>
      <c r="W500" s="18">
        <f t="shared" si="12"/>
        <v>0</v>
      </c>
      <c r="X500" s="18"/>
      <c r="Y500" s="18"/>
      <c r="Z500" s="21"/>
    </row>
    <row r="501" spans="3:26">
      <c r="C501" s="48" t="s">
        <v>1222</v>
      </c>
      <c r="D501" s="48" t="s">
        <v>1222</v>
      </c>
      <c r="E501" s="18" t="s">
        <v>1217</v>
      </c>
      <c r="F501" s="522" t="s">
        <v>511</v>
      </c>
      <c r="G501" s="284" t="s">
        <v>1879</v>
      </c>
      <c r="H501" s="285" t="s">
        <v>239</v>
      </c>
      <c r="I501" s="13" t="s">
        <v>1371</v>
      </c>
      <c r="J501" s="523" t="s">
        <v>1688</v>
      </c>
      <c r="K501" s="16" t="s">
        <v>1122</v>
      </c>
      <c r="L501" s="501">
        <v>22</v>
      </c>
      <c r="M501" s="501">
        <v>22</v>
      </c>
      <c r="N501" s="523"/>
      <c r="O501" s="523" t="s">
        <v>1688</v>
      </c>
      <c r="P501" s="13" t="s">
        <v>268</v>
      </c>
      <c r="T501" s="18"/>
      <c r="U501" s="18"/>
      <c r="V501" s="18"/>
      <c r="W501" s="18"/>
      <c r="X501" s="18"/>
      <c r="Y501" s="18"/>
      <c r="Z501" s="21"/>
    </row>
    <row r="502" spans="3:26">
      <c r="C502" s="48" t="s">
        <v>1222</v>
      </c>
      <c r="D502" s="48" t="s">
        <v>1222</v>
      </c>
      <c r="E502" s="18" t="s">
        <v>1217</v>
      </c>
      <c r="F502" s="522" t="s">
        <v>511</v>
      </c>
      <c r="G502" s="284" t="s">
        <v>1879</v>
      </c>
      <c r="H502" s="285" t="s">
        <v>239</v>
      </c>
      <c r="I502" s="13" t="s">
        <v>1371</v>
      </c>
      <c r="J502" s="523" t="s">
        <v>1689</v>
      </c>
      <c r="K502" s="16" t="s">
        <v>1123</v>
      </c>
      <c r="L502" s="501">
        <v>22</v>
      </c>
      <c r="M502" s="501">
        <v>22</v>
      </c>
      <c r="N502" s="523"/>
      <c r="O502" s="523" t="s">
        <v>1689</v>
      </c>
      <c r="P502" s="13" t="s">
        <v>268</v>
      </c>
      <c r="T502" s="18"/>
      <c r="U502" s="18"/>
      <c r="V502" s="18"/>
      <c r="W502" s="18"/>
      <c r="X502" s="18"/>
      <c r="Y502" s="18"/>
      <c r="Z502" s="21"/>
    </row>
    <row r="503" spans="3:26">
      <c r="C503" s="48" t="s">
        <v>1222</v>
      </c>
      <c r="D503" s="48" t="s">
        <v>1222</v>
      </c>
      <c r="E503" s="18" t="s">
        <v>1217</v>
      </c>
      <c r="F503" s="522" t="s">
        <v>511</v>
      </c>
      <c r="G503" s="284" t="s">
        <v>1879</v>
      </c>
      <c r="H503" s="285" t="s">
        <v>239</v>
      </c>
      <c r="I503" s="13" t="s">
        <v>1371</v>
      </c>
      <c r="J503" s="523" t="s">
        <v>1690</v>
      </c>
      <c r="K503" s="16" t="s">
        <v>1124</v>
      </c>
      <c r="L503" s="501">
        <v>22</v>
      </c>
      <c r="M503" s="501">
        <v>22</v>
      </c>
      <c r="N503" s="523"/>
      <c r="O503" s="523" t="s">
        <v>1690</v>
      </c>
      <c r="P503" s="13" t="s">
        <v>268</v>
      </c>
      <c r="T503" s="18"/>
      <c r="U503" s="18"/>
      <c r="V503" s="18"/>
      <c r="W503" s="18"/>
      <c r="X503" s="18"/>
      <c r="Y503" s="18"/>
      <c r="Z503" s="21"/>
    </row>
    <row r="504" spans="3:26">
      <c r="C504" s="48" t="s">
        <v>1222</v>
      </c>
      <c r="D504" s="48" t="s">
        <v>1222</v>
      </c>
      <c r="E504" s="18" t="s">
        <v>1217</v>
      </c>
      <c r="F504" s="522" t="s">
        <v>511</v>
      </c>
      <c r="G504" s="284" t="s">
        <v>1879</v>
      </c>
      <c r="H504" s="285" t="s">
        <v>239</v>
      </c>
      <c r="I504" s="13" t="s">
        <v>1371</v>
      </c>
      <c r="J504" s="523" t="s">
        <v>1691</v>
      </c>
      <c r="K504" s="16" t="s">
        <v>1125</v>
      </c>
      <c r="L504" s="501">
        <v>22</v>
      </c>
      <c r="M504" s="501">
        <v>22</v>
      </c>
      <c r="N504" s="523">
        <v>60</v>
      </c>
      <c r="O504" s="523" t="s">
        <v>1691</v>
      </c>
      <c r="P504" s="13" t="s">
        <v>268</v>
      </c>
      <c r="Q504" s="13" t="s">
        <v>269</v>
      </c>
      <c r="R504" s="13" t="s">
        <v>460</v>
      </c>
      <c r="S504" s="18" t="s">
        <v>360</v>
      </c>
      <c r="T504" s="18">
        <v>0</v>
      </c>
      <c r="U504" s="18"/>
      <c r="V504" s="18"/>
      <c r="W504" s="18">
        <f t="shared" si="12"/>
        <v>0</v>
      </c>
      <c r="X504" s="18"/>
      <c r="Y504" s="18"/>
      <c r="Z504" s="21"/>
    </row>
    <row r="505" spans="3:26">
      <c r="C505" s="48" t="s">
        <v>1222</v>
      </c>
      <c r="D505" s="48" t="s">
        <v>1222</v>
      </c>
      <c r="E505" s="18" t="s">
        <v>1217</v>
      </c>
      <c r="F505" s="522" t="s">
        <v>511</v>
      </c>
      <c r="G505" s="284"/>
      <c r="H505" s="285" t="s">
        <v>239</v>
      </c>
      <c r="I505" s="13" t="s">
        <v>355</v>
      </c>
      <c r="J505" s="503" t="s">
        <v>470</v>
      </c>
      <c r="K505" s="503"/>
      <c r="L505" s="503">
        <v>4.88</v>
      </c>
      <c r="M505" s="503">
        <v>4.88</v>
      </c>
      <c r="N505" s="505"/>
      <c r="O505" s="505"/>
      <c r="P505" s="13" t="s">
        <v>268</v>
      </c>
      <c r="Q505" s="13" t="s">
        <v>269</v>
      </c>
      <c r="R505" s="13" t="s">
        <v>460</v>
      </c>
      <c r="S505" s="18" t="s">
        <v>360</v>
      </c>
      <c r="T505" s="18">
        <v>0</v>
      </c>
      <c r="U505" s="18"/>
      <c r="V505" s="18"/>
      <c r="W505" s="18">
        <f t="shared" si="12"/>
        <v>0</v>
      </c>
      <c r="X505" s="18"/>
      <c r="Y505" s="18"/>
      <c r="Z505" s="21"/>
    </row>
    <row r="506" spans="3:26">
      <c r="C506" s="48" t="s">
        <v>1222</v>
      </c>
      <c r="D506" s="48" t="s">
        <v>1222</v>
      </c>
      <c r="E506" s="18" t="s">
        <v>1217</v>
      </c>
      <c r="F506" s="522" t="s">
        <v>511</v>
      </c>
      <c r="G506" s="284"/>
      <c r="H506" s="285" t="s">
        <v>239</v>
      </c>
      <c r="I506" s="13" t="s">
        <v>192</v>
      </c>
      <c r="J506" s="503" t="s">
        <v>604</v>
      </c>
      <c r="K506" s="503"/>
      <c r="L506" s="503">
        <v>5.4</v>
      </c>
      <c r="M506" s="503">
        <v>5.4</v>
      </c>
      <c r="N506" s="505"/>
      <c r="O506" s="505"/>
      <c r="P506" s="13" t="s">
        <v>572</v>
      </c>
      <c r="Q506" s="13" t="s">
        <v>572</v>
      </c>
      <c r="R506" s="13" t="s">
        <v>459</v>
      </c>
      <c r="S506" s="18" t="s">
        <v>100</v>
      </c>
      <c r="T506" s="18">
        <v>0</v>
      </c>
      <c r="U506" s="18"/>
      <c r="V506" s="18"/>
      <c r="W506" s="18">
        <f t="shared" si="12"/>
        <v>0</v>
      </c>
      <c r="X506" s="18"/>
      <c r="Y506" s="18"/>
      <c r="Z506" s="21"/>
    </row>
    <row r="507" spans="3:26">
      <c r="C507" s="48" t="s">
        <v>1222</v>
      </c>
      <c r="D507" s="48" t="s">
        <v>1222</v>
      </c>
      <c r="E507" s="18" t="s">
        <v>1217</v>
      </c>
      <c r="F507" s="522" t="s">
        <v>511</v>
      </c>
      <c r="G507" s="284"/>
      <c r="H507" s="285" t="s">
        <v>239</v>
      </c>
      <c r="I507" s="13" t="s">
        <v>192</v>
      </c>
      <c r="J507" s="503" t="s">
        <v>471</v>
      </c>
      <c r="K507" s="503"/>
      <c r="L507" s="503">
        <v>5.4</v>
      </c>
      <c r="M507" s="503">
        <v>5.4</v>
      </c>
      <c r="N507" s="505"/>
      <c r="O507" s="505"/>
      <c r="P507" s="13" t="s">
        <v>572</v>
      </c>
      <c r="Q507" s="13" t="s">
        <v>572</v>
      </c>
      <c r="R507" s="13" t="s">
        <v>459</v>
      </c>
      <c r="S507" s="18" t="s">
        <v>100</v>
      </c>
      <c r="T507" s="18">
        <v>0</v>
      </c>
      <c r="U507" s="18"/>
      <c r="V507" s="18"/>
      <c r="W507" s="18">
        <f t="shared" si="12"/>
        <v>0</v>
      </c>
      <c r="X507" s="18"/>
      <c r="Y507" s="18"/>
      <c r="Z507" s="21"/>
    </row>
    <row r="508" spans="3:26">
      <c r="C508" s="48" t="s">
        <v>1222</v>
      </c>
      <c r="D508" s="48" t="s">
        <v>1222</v>
      </c>
      <c r="E508" s="18" t="s">
        <v>1217</v>
      </c>
      <c r="F508" s="522" t="s">
        <v>511</v>
      </c>
      <c r="G508" s="284"/>
      <c r="H508" s="285" t="s">
        <v>239</v>
      </c>
      <c r="I508" s="13" t="s">
        <v>192</v>
      </c>
      <c r="J508" s="503" t="s">
        <v>368</v>
      </c>
      <c r="K508" s="503"/>
      <c r="L508" s="503">
        <v>10.85</v>
      </c>
      <c r="M508" s="503">
        <v>10.85</v>
      </c>
      <c r="N508" s="505"/>
      <c r="O508" s="505"/>
      <c r="P508" s="13" t="s">
        <v>572</v>
      </c>
      <c r="Q508" s="13" t="s">
        <v>572</v>
      </c>
      <c r="R508" s="13" t="s">
        <v>459</v>
      </c>
      <c r="S508" s="18" t="s">
        <v>100</v>
      </c>
      <c r="T508" s="18">
        <v>0</v>
      </c>
      <c r="U508" s="18"/>
      <c r="V508" s="18"/>
      <c r="W508" s="18">
        <f t="shared" si="12"/>
        <v>0</v>
      </c>
      <c r="X508" s="18"/>
      <c r="Y508" s="18"/>
      <c r="Z508" s="21"/>
    </row>
    <row r="509" spans="3:26">
      <c r="C509" s="48" t="s">
        <v>1222</v>
      </c>
      <c r="D509" s="48" t="s">
        <v>1222</v>
      </c>
      <c r="E509" s="18" t="s">
        <v>1217</v>
      </c>
      <c r="F509" s="522" t="s">
        <v>511</v>
      </c>
      <c r="G509" s="284"/>
      <c r="H509" s="285" t="s">
        <v>239</v>
      </c>
      <c r="I509" s="13" t="s">
        <v>27</v>
      </c>
      <c r="J509" s="503" t="s">
        <v>1397</v>
      </c>
      <c r="K509" s="503"/>
      <c r="L509" s="503">
        <v>3</v>
      </c>
      <c r="M509" s="503">
        <v>3</v>
      </c>
      <c r="N509" s="505"/>
      <c r="O509" s="505"/>
      <c r="P509" s="13" t="s">
        <v>572</v>
      </c>
      <c r="Q509" s="13" t="s">
        <v>572</v>
      </c>
      <c r="R509" s="13" t="s">
        <v>459</v>
      </c>
      <c r="S509" s="18" t="s">
        <v>100</v>
      </c>
      <c r="T509" s="18">
        <v>0</v>
      </c>
      <c r="U509" s="18"/>
      <c r="V509" s="18"/>
      <c r="W509" s="18">
        <f t="shared" si="12"/>
        <v>0</v>
      </c>
      <c r="X509" s="18"/>
      <c r="Y509" s="18"/>
      <c r="Z509" s="21"/>
    </row>
    <row r="510" spans="3:26">
      <c r="C510" s="48" t="s">
        <v>1222</v>
      </c>
      <c r="D510" s="48" t="s">
        <v>1222</v>
      </c>
      <c r="E510" s="18" t="s">
        <v>1217</v>
      </c>
      <c r="F510" s="522" t="s">
        <v>511</v>
      </c>
      <c r="G510" s="284"/>
      <c r="H510" s="285" t="s">
        <v>239</v>
      </c>
      <c r="I510" s="13" t="s">
        <v>192</v>
      </c>
      <c r="J510" s="503" t="s">
        <v>367</v>
      </c>
      <c r="K510" s="503"/>
      <c r="L510" s="503">
        <v>9.32</v>
      </c>
      <c r="M510" s="503">
        <v>9.32</v>
      </c>
      <c r="N510" s="505"/>
      <c r="O510" s="505"/>
      <c r="P510" s="13" t="s">
        <v>572</v>
      </c>
      <c r="Q510" s="13" t="s">
        <v>572</v>
      </c>
      <c r="R510" s="13" t="s">
        <v>459</v>
      </c>
      <c r="S510" s="18" t="s">
        <v>100</v>
      </c>
      <c r="T510" s="18">
        <v>0</v>
      </c>
      <c r="U510" s="18"/>
      <c r="V510" s="18"/>
      <c r="W510" s="18">
        <f t="shared" si="12"/>
        <v>0</v>
      </c>
      <c r="X510" s="18"/>
      <c r="Y510" s="18"/>
      <c r="Z510" s="21"/>
    </row>
    <row r="511" spans="3:26">
      <c r="C511" s="48" t="s">
        <v>1222</v>
      </c>
      <c r="D511" s="48" t="s">
        <v>1222</v>
      </c>
      <c r="E511" s="18" t="s">
        <v>1217</v>
      </c>
      <c r="F511" s="522" t="s">
        <v>511</v>
      </c>
      <c r="G511" s="284"/>
      <c r="H511" s="285" t="s">
        <v>239</v>
      </c>
      <c r="I511" s="13" t="s">
        <v>194</v>
      </c>
      <c r="J511" s="503" t="s">
        <v>194</v>
      </c>
      <c r="K511" s="503"/>
      <c r="L511" s="503">
        <v>95.85</v>
      </c>
      <c r="M511" s="503">
        <v>95.85</v>
      </c>
      <c r="N511" s="505"/>
      <c r="O511" s="505"/>
      <c r="P511" s="13" t="s">
        <v>268</v>
      </c>
      <c r="Q511" s="13" t="s">
        <v>269</v>
      </c>
      <c r="R511" s="13" t="s">
        <v>460</v>
      </c>
      <c r="T511" s="18"/>
      <c r="U511" s="18"/>
      <c r="V511" s="18"/>
      <c r="W511" s="18"/>
      <c r="X511" s="18"/>
      <c r="Y511" s="18"/>
      <c r="Z511" s="21"/>
    </row>
    <row r="512" spans="3:26">
      <c r="C512" s="48" t="s">
        <v>1222</v>
      </c>
      <c r="D512" s="48" t="s">
        <v>1222</v>
      </c>
      <c r="E512" s="18" t="s">
        <v>1217</v>
      </c>
      <c r="F512" s="522" t="s">
        <v>511</v>
      </c>
      <c r="G512" s="284" t="s">
        <v>1879</v>
      </c>
      <c r="H512" s="285" t="s">
        <v>241</v>
      </c>
      <c r="I512" s="13" t="s">
        <v>1364</v>
      </c>
      <c r="J512" s="16" t="s">
        <v>1536</v>
      </c>
      <c r="K512" s="16" t="s">
        <v>487</v>
      </c>
      <c r="L512" s="16">
        <v>44.13</v>
      </c>
      <c r="M512" s="16">
        <v>44.13</v>
      </c>
      <c r="N512" s="196">
        <v>7</v>
      </c>
      <c r="O512" s="196" t="s">
        <v>1536</v>
      </c>
      <c r="P512" s="13" t="s">
        <v>268</v>
      </c>
      <c r="Q512" s="13" t="s">
        <v>269</v>
      </c>
      <c r="R512" s="13" t="s">
        <v>460</v>
      </c>
      <c r="S512" s="18" t="s">
        <v>360</v>
      </c>
      <c r="T512" s="18">
        <v>0</v>
      </c>
      <c r="U512" s="18"/>
      <c r="V512" s="18"/>
      <c r="W512" s="18">
        <f t="shared" si="12"/>
        <v>0</v>
      </c>
      <c r="X512" s="18"/>
      <c r="Y512" s="18"/>
      <c r="Z512" s="21"/>
    </row>
    <row r="513" spans="3:26" ht="45">
      <c r="C513" s="48" t="s">
        <v>1222</v>
      </c>
      <c r="D513" s="48" t="s">
        <v>1222</v>
      </c>
      <c r="E513" s="18" t="s">
        <v>1217</v>
      </c>
      <c r="F513" s="522" t="s">
        <v>511</v>
      </c>
      <c r="G513" s="284" t="s">
        <v>1879</v>
      </c>
      <c r="H513" s="285" t="s">
        <v>241</v>
      </c>
      <c r="I513" s="13" t="s">
        <v>208</v>
      </c>
      <c r="J513" s="60" t="s">
        <v>1692</v>
      </c>
      <c r="K513" s="16" t="s">
        <v>488</v>
      </c>
      <c r="L513" s="16">
        <v>29.45</v>
      </c>
      <c r="M513" s="16">
        <v>29.45</v>
      </c>
      <c r="N513" s="196">
        <v>3</v>
      </c>
      <c r="O513" s="196">
        <v>3</v>
      </c>
      <c r="P513" s="13" t="s">
        <v>268</v>
      </c>
      <c r="Q513" s="13" t="s">
        <v>269</v>
      </c>
      <c r="R513" s="13" t="s">
        <v>460</v>
      </c>
      <c r="S513" s="18" t="s">
        <v>360</v>
      </c>
      <c r="T513" s="18">
        <v>0</v>
      </c>
      <c r="U513" s="18"/>
      <c r="V513" s="18"/>
      <c r="W513" s="18">
        <f t="shared" si="12"/>
        <v>0</v>
      </c>
      <c r="X513" s="18"/>
      <c r="Y513" s="18"/>
      <c r="Z513" s="21"/>
    </row>
    <row r="514" spans="3:26" ht="45">
      <c r="C514" s="48" t="s">
        <v>1222</v>
      </c>
      <c r="D514" s="48" t="s">
        <v>1222</v>
      </c>
      <c r="E514" s="18" t="s">
        <v>1217</v>
      </c>
      <c r="F514" s="522" t="s">
        <v>511</v>
      </c>
      <c r="G514" s="284" t="s">
        <v>1879</v>
      </c>
      <c r="H514" s="285" t="s">
        <v>241</v>
      </c>
      <c r="I514" s="13" t="s">
        <v>208</v>
      </c>
      <c r="J514" s="60" t="s">
        <v>1693</v>
      </c>
      <c r="K514" s="16" t="s">
        <v>489</v>
      </c>
      <c r="L514" s="16">
        <v>29.45</v>
      </c>
      <c r="M514" s="16">
        <v>29.45</v>
      </c>
      <c r="N514" s="196">
        <v>3</v>
      </c>
      <c r="O514" s="196">
        <v>3</v>
      </c>
      <c r="P514" s="13" t="s">
        <v>268</v>
      </c>
      <c r="Q514" s="13" t="s">
        <v>269</v>
      </c>
      <c r="R514" s="13" t="s">
        <v>460</v>
      </c>
      <c r="S514" s="18" t="s">
        <v>360</v>
      </c>
      <c r="T514" s="18">
        <v>0</v>
      </c>
      <c r="U514" s="18"/>
      <c r="V514" s="18"/>
      <c r="W514" s="18">
        <f t="shared" si="12"/>
        <v>0</v>
      </c>
      <c r="X514" s="18"/>
      <c r="Y514" s="18"/>
      <c r="Z514" s="21"/>
    </row>
    <row r="515" spans="3:26" ht="45">
      <c r="C515" s="48" t="s">
        <v>1222</v>
      </c>
      <c r="D515" s="48" t="s">
        <v>1222</v>
      </c>
      <c r="E515" s="18" t="s">
        <v>1217</v>
      </c>
      <c r="F515" s="522" t="s">
        <v>511</v>
      </c>
      <c r="G515" s="284" t="s">
        <v>1879</v>
      </c>
      <c r="H515" s="285" t="s">
        <v>241</v>
      </c>
      <c r="I515" s="13" t="s">
        <v>208</v>
      </c>
      <c r="J515" s="60" t="s">
        <v>1694</v>
      </c>
      <c r="K515" s="16" t="s">
        <v>490</v>
      </c>
      <c r="L515" s="16">
        <v>29.45</v>
      </c>
      <c r="M515" s="16">
        <v>29.45</v>
      </c>
      <c r="N515" s="196">
        <v>3</v>
      </c>
      <c r="O515" s="196">
        <v>3</v>
      </c>
      <c r="P515" s="13" t="s">
        <v>268</v>
      </c>
      <c r="Q515" s="13" t="s">
        <v>269</v>
      </c>
      <c r="R515" s="13" t="s">
        <v>460</v>
      </c>
      <c r="S515" s="18" t="s">
        <v>360</v>
      </c>
      <c r="T515" s="18">
        <v>0</v>
      </c>
      <c r="U515" s="18"/>
      <c r="V515" s="18"/>
      <c r="W515" s="18">
        <f t="shared" si="12"/>
        <v>0</v>
      </c>
      <c r="X515" s="18"/>
      <c r="Y515" s="18"/>
      <c r="Z515" s="21"/>
    </row>
    <row r="516" spans="3:26" ht="45">
      <c r="C516" s="48" t="s">
        <v>1222</v>
      </c>
      <c r="D516" s="48" t="s">
        <v>1222</v>
      </c>
      <c r="E516" s="18" t="s">
        <v>1217</v>
      </c>
      <c r="F516" s="522" t="s">
        <v>511</v>
      </c>
      <c r="G516" s="284" t="s">
        <v>1879</v>
      </c>
      <c r="H516" s="285" t="s">
        <v>241</v>
      </c>
      <c r="I516" s="13" t="s">
        <v>208</v>
      </c>
      <c r="J516" s="60" t="s">
        <v>1695</v>
      </c>
      <c r="K516" s="16" t="s">
        <v>491</v>
      </c>
      <c r="L516" s="16">
        <v>29.45</v>
      </c>
      <c r="M516" s="16">
        <v>29.45</v>
      </c>
      <c r="N516" s="196">
        <v>3</v>
      </c>
      <c r="O516" s="196">
        <v>3</v>
      </c>
      <c r="P516" s="13" t="s">
        <v>268</v>
      </c>
      <c r="Q516" s="13" t="s">
        <v>269</v>
      </c>
      <c r="R516" s="13" t="s">
        <v>460</v>
      </c>
      <c r="S516" s="18" t="s">
        <v>360</v>
      </c>
      <c r="T516" s="18">
        <v>0</v>
      </c>
      <c r="U516" s="18"/>
      <c r="V516" s="18"/>
      <c r="W516" s="18">
        <f t="shared" si="12"/>
        <v>0</v>
      </c>
      <c r="X516" s="18"/>
      <c r="Y516" s="18"/>
      <c r="Z516" s="21"/>
    </row>
    <row r="517" spans="3:26" ht="45">
      <c r="C517" s="48" t="s">
        <v>1222</v>
      </c>
      <c r="D517" s="48" t="s">
        <v>1222</v>
      </c>
      <c r="E517" s="18" t="s">
        <v>1217</v>
      </c>
      <c r="F517" s="522" t="s">
        <v>511</v>
      </c>
      <c r="G517" s="284" t="s">
        <v>1879</v>
      </c>
      <c r="H517" s="285" t="s">
        <v>241</v>
      </c>
      <c r="I517" s="13" t="s">
        <v>208</v>
      </c>
      <c r="J517" s="60" t="s">
        <v>1696</v>
      </c>
      <c r="K517" s="16" t="s">
        <v>492</v>
      </c>
      <c r="L517" s="16">
        <v>29.45</v>
      </c>
      <c r="M517" s="16">
        <v>29.45</v>
      </c>
      <c r="N517" s="196">
        <v>3</v>
      </c>
      <c r="O517" s="196">
        <v>3</v>
      </c>
      <c r="P517" s="13" t="s">
        <v>268</v>
      </c>
      <c r="Q517" s="13" t="s">
        <v>269</v>
      </c>
      <c r="R517" s="13" t="s">
        <v>460</v>
      </c>
      <c r="S517" s="18" t="s">
        <v>360</v>
      </c>
      <c r="T517" s="18">
        <v>0</v>
      </c>
      <c r="U517" s="18"/>
      <c r="V517" s="18"/>
      <c r="W517" s="18">
        <f t="shared" si="12"/>
        <v>0</v>
      </c>
      <c r="X517" s="18"/>
      <c r="Y517" s="18"/>
      <c r="Z517" s="21"/>
    </row>
    <row r="518" spans="3:26" ht="45">
      <c r="C518" s="48" t="s">
        <v>1222</v>
      </c>
      <c r="D518" s="48" t="s">
        <v>1222</v>
      </c>
      <c r="E518" s="18" t="s">
        <v>1217</v>
      </c>
      <c r="F518" s="522" t="s">
        <v>511</v>
      </c>
      <c r="G518" s="284" t="s">
        <v>1879</v>
      </c>
      <c r="H518" s="285" t="s">
        <v>241</v>
      </c>
      <c r="I518" s="13" t="s">
        <v>208</v>
      </c>
      <c r="J518" s="60" t="s">
        <v>1697</v>
      </c>
      <c r="K518" s="16" t="s">
        <v>493</v>
      </c>
      <c r="L518" s="16">
        <v>29.16</v>
      </c>
      <c r="M518" s="16">
        <v>29.16</v>
      </c>
      <c r="N518" s="196">
        <v>3</v>
      </c>
      <c r="O518" s="196">
        <v>3</v>
      </c>
      <c r="P518" s="13" t="s">
        <v>268</v>
      </c>
      <c r="Q518" s="13" t="s">
        <v>269</v>
      </c>
      <c r="R518" s="13" t="s">
        <v>460</v>
      </c>
      <c r="S518" s="18" t="s">
        <v>360</v>
      </c>
      <c r="T518" s="18">
        <v>0</v>
      </c>
      <c r="U518" s="18"/>
      <c r="V518" s="18"/>
      <c r="W518" s="18">
        <f t="shared" si="12"/>
        <v>0</v>
      </c>
      <c r="X518" s="18"/>
      <c r="Y518" s="18"/>
      <c r="Z518" s="21"/>
    </row>
    <row r="519" spans="3:26">
      <c r="C519" s="48" t="s">
        <v>1222</v>
      </c>
      <c r="D519" s="48" t="s">
        <v>1222</v>
      </c>
      <c r="E519" s="18" t="s">
        <v>1217</v>
      </c>
      <c r="F519" s="522" t="s">
        <v>511</v>
      </c>
      <c r="G519" s="284"/>
      <c r="H519" s="285" t="s">
        <v>241</v>
      </c>
      <c r="I519" s="13" t="s">
        <v>355</v>
      </c>
      <c r="J519" s="503" t="s">
        <v>33</v>
      </c>
      <c r="K519" s="503"/>
      <c r="L519" s="503">
        <v>28.84</v>
      </c>
      <c r="M519" s="503">
        <v>28.84</v>
      </c>
      <c r="N519" s="505"/>
      <c r="O519" s="505"/>
      <c r="P519" s="13" t="s">
        <v>268</v>
      </c>
      <c r="Q519" s="13" t="s">
        <v>269</v>
      </c>
      <c r="R519" s="13" t="s">
        <v>460</v>
      </c>
      <c r="S519" s="18" t="s">
        <v>360</v>
      </c>
      <c r="T519" s="18">
        <v>0</v>
      </c>
      <c r="U519" s="18"/>
      <c r="V519" s="18"/>
      <c r="W519" s="18">
        <f t="shared" si="12"/>
        <v>0</v>
      </c>
      <c r="X519" s="18"/>
      <c r="Y519" s="18"/>
      <c r="Z519" s="21"/>
    </row>
    <row r="520" spans="3:26" ht="45">
      <c r="C520" s="48" t="s">
        <v>1222</v>
      </c>
      <c r="D520" s="48" t="s">
        <v>1222</v>
      </c>
      <c r="E520" s="18" t="s">
        <v>1217</v>
      </c>
      <c r="F520" s="522" t="s">
        <v>511</v>
      </c>
      <c r="G520" s="284" t="s">
        <v>1879</v>
      </c>
      <c r="H520" s="285" t="s">
        <v>241</v>
      </c>
      <c r="I520" s="13" t="s">
        <v>208</v>
      </c>
      <c r="J520" s="60" t="s">
        <v>1698</v>
      </c>
      <c r="K520" s="16" t="s">
        <v>494</v>
      </c>
      <c r="L520" s="16">
        <v>29.12</v>
      </c>
      <c r="M520" s="16">
        <v>29.12</v>
      </c>
      <c r="N520" s="196">
        <v>3</v>
      </c>
      <c r="O520" s="196">
        <v>3</v>
      </c>
      <c r="P520" s="13" t="s">
        <v>268</v>
      </c>
      <c r="Q520" s="13" t="s">
        <v>269</v>
      </c>
      <c r="R520" s="13" t="s">
        <v>460</v>
      </c>
      <c r="S520" s="18" t="s">
        <v>360</v>
      </c>
      <c r="T520" s="18">
        <v>0</v>
      </c>
      <c r="U520" s="18"/>
      <c r="V520" s="18"/>
      <c r="W520" s="18">
        <f t="shared" si="12"/>
        <v>0</v>
      </c>
      <c r="X520" s="18"/>
      <c r="Y520" s="18"/>
      <c r="Z520" s="21"/>
    </row>
    <row r="521" spans="3:26" ht="45">
      <c r="C521" s="48" t="s">
        <v>1222</v>
      </c>
      <c r="D521" s="48" t="s">
        <v>1222</v>
      </c>
      <c r="E521" s="18" t="s">
        <v>1217</v>
      </c>
      <c r="F521" s="522" t="s">
        <v>511</v>
      </c>
      <c r="G521" s="284" t="s">
        <v>1879</v>
      </c>
      <c r="H521" s="285" t="s">
        <v>241</v>
      </c>
      <c r="I521" s="13" t="s">
        <v>208</v>
      </c>
      <c r="J521" s="60" t="s">
        <v>1699</v>
      </c>
      <c r="K521" s="16" t="s">
        <v>495</v>
      </c>
      <c r="L521" s="16">
        <v>29.41</v>
      </c>
      <c r="M521" s="16">
        <v>29.41</v>
      </c>
      <c r="N521" s="196">
        <v>3</v>
      </c>
      <c r="O521" s="196">
        <v>3</v>
      </c>
      <c r="P521" s="13" t="s">
        <v>268</v>
      </c>
      <c r="Q521" s="13" t="s">
        <v>269</v>
      </c>
      <c r="R521" s="13" t="s">
        <v>460</v>
      </c>
      <c r="S521" s="18" t="s">
        <v>360</v>
      </c>
      <c r="T521" s="18">
        <v>0</v>
      </c>
      <c r="U521" s="18"/>
      <c r="V521" s="18"/>
      <c r="W521" s="18">
        <f t="shared" si="12"/>
        <v>0</v>
      </c>
      <c r="X521" s="18"/>
      <c r="Y521" s="18"/>
      <c r="Z521" s="21"/>
    </row>
    <row r="522" spans="3:26" ht="30">
      <c r="C522" s="48" t="s">
        <v>1222</v>
      </c>
      <c r="D522" s="48" t="s">
        <v>1222</v>
      </c>
      <c r="E522" s="18" t="s">
        <v>1217</v>
      </c>
      <c r="F522" s="522" t="s">
        <v>511</v>
      </c>
      <c r="G522" s="284" t="s">
        <v>1879</v>
      </c>
      <c r="H522" s="285" t="s">
        <v>241</v>
      </c>
      <c r="I522" s="13" t="s">
        <v>208</v>
      </c>
      <c r="J522" s="60" t="s">
        <v>1700</v>
      </c>
      <c r="K522" s="16" t="s">
        <v>496</v>
      </c>
      <c r="L522" s="16">
        <v>29.41</v>
      </c>
      <c r="M522" s="16">
        <v>29.41</v>
      </c>
      <c r="N522" s="196">
        <v>3</v>
      </c>
      <c r="O522" s="196">
        <v>3</v>
      </c>
      <c r="P522" s="13" t="s">
        <v>268</v>
      </c>
      <c r="Q522" s="13" t="s">
        <v>269</v>
      </c>
      <c r="R522" s="13" t="s">
        <v>460</v>
      </c>
      <c r="S522" s="18" t="s">
        <v>360</v>
      </c>
      <c r="T522" s="18">
        <v>0</v>
      </c>
      <c r="U522" s="18"/>
      <c r="V522" s="18"/>
      <c r="W522" s="18">
        <f t="shared" si="12"/>
        <v>0</v>
      </c>
      <c r="X522" s="18"/>
      <c r="Y522" s="18"/>
      <c r="Z522" s="21"/>
    </row>
    <row r="523" spans="3:26" ht="45">
      <c r="C523" s="48" t="s">
        <v>1222</v>
      </c>
      <c r="D523" s="48" t="s">
        <v>1222</v>
      </c>
      <c r="E523" s="18" t="s">
        <v>1217</v>
      </c>
      <c r="F523" s="522" t="s">
        <v>511</v>
      </c>
      <c r="G523" s="284" t="s">
        <v>1879</v>
      </c>
      <c r="H523" s="285" t="s">
        <v>241</v>
      </c>
      <c r="I523" s="13" t="s">
        <v>208</v>
      </c>
      <c r="J523" s="60" t="s">
        <v>1701</v>
      </c>
      <c r="K523" s="16" t="s">
        <v>497</v>
      </c>
      <c r="L523" s="16">
        <v>29.12</v>
      </c>
      <c r="M523" s="16">
        <v>29.12</v>
      </c>
      <c r="N523" s="196">
        <v>3</v>
      </c>
      <c r="O523" s="196">
        <v>3</v>
      </c>
      <c r="P523" s="13" t="s">
        <v>268</v>
      </c>
      <c r="Q523" s="13" t="s">
        <v>269</v>
      </c>
      <c r="R523" s="13" t="s">
        <v>460</v>
      </c>
      <c r="S523" s="18" t="s">
        <v>360</v>
      </c>
      <c r="T523" s="18">
        <v>0</v>
      </c>
      <c r="U523" s="18"/>
      <c r="V523" s="18"/>
      <c r="W523" s="18">
        <f t="shared" si="12"/>
        <v>0</v>
      </c>
      <c r="X523" s="18"/>
      <c r="Y523" s="18"/>
      <c r="Z523" s="21"/>
    </row>
    <row r="524" spans="3:26">
      <c r="C524" s="48" t="s">
        <v>1222</v>
      </c>
      <c r="D524" s="48" t="s">
        <v>1222</v>
      </c>
      <c r="E524" s="18" t="s">
        <v>1217</v>
      </c>
      <c r="F524" s="522" t="s">
        <v>511</v>
      </c>
      <c r="G524" s="284"/>
      <c r="H524" s="285" t="s">
        <v>241</v>
      </c>
      <c r="I524" s="13" t="s">
        <v>355</v>
      </c>
      <c r="J524" s="503" t="s">
        <v>470</v>
      </c>
      <c r="K524" s="503"/>
      <c r="L524" s="503">
        <v>4.88</v>
      </c>
      <c r="M524" s="503">
        <v>4.88</v>
      </c>
      <c r="N524" s="505"/>
      <c r="O524" s="505"/>
      <c r="P524" s="13" t="s">
        <v>268</v>
      </c>
      <c r="Q524" s="13" t="s">
        <v>269</v>
      </c>
      <c r="R524" s="13" t="s">
        <v>460</v>
      </c>
      <c r="S524" s="18" t="s">
        <v>360</v>
      </c>
      <c r="T524" s="18">
        <v>0</v>
      </c>
      <c r="U524" s="18"/>
      <c r="V524" s="18"/>
      <c r="W524" s="18">
        <f t="shared" si="12"/>
        <v>0</v>
      </c>
      <c r="X524" s="18"/>
      <c r="Y524" s="18"/>
      <c r="Z524" s="21"/>
    </row>
    <row r="525" spans="3:26">
      <c r="C525" s="48" t="s">
        <v>1222</v>
      </c>
      <c r="D525" s="48" t="s">
        <v>1222</v>
      </c>
      <c r="E525" s="18" t="s">
        <v>1217</v>
      </c>
      <c r="F525" s="522" t="s">
        <v>511</v>
      </c>
      <c r="G525" s="284"/>
      <c r="H525" s="285" t="s">
        <v>241</v>
      </c>
      <c r="I525" s="13" t="s">
        <v>192</v>
      </c>
      <c r="J525" s="503" t="s">
        <v>604</v>
      </c>
      <c r="K525" s="503"/>
      <c r="L525" s="503">
        <v>5.4</v>
      </c>
      <c r="M525" s="503">
        <v>5.4</v>
      </c>
      <c r="N525" s="505"/>
      <c r="O525" s="505"/>
      <c r="P525" s="13" t="s">
        <v>572</v>
      </c>
      <c r="Q525" s="13" t="s">
        <v>572</v>
      </c>
      <c r="R525" s="13" t="s">
        <v>459</v>
      </c>
      <c r="S525" s="18" t="s">
        <v>100</v>
      </c>
      <c r="T525" s="18">
        <v>0</v>
      </c>
      <c r="U525" s="18"/>
      <c r="V525" s="18"/>
      <c r="W525" s="18">
        <f t="shared" si="12"/>
        <v>0</v>
      </c>
      <c r="X525" s="18"/>
      <c r="Y525" s="18"/>
      <c r="Z525" s="21"/>
    </row>
    <row r="526" spans="3:26">
      <c r="C526" s="48" t="s">
        <v>1222</v>
      </c>
      <c r="D526" s="48" t="s">
        <v>1222</v>
      </c>
      <c r="E526" s="18" t="s">
        <v>1217</v>
      </c>
      <c r="F526" s="522" t="s">
        <v>511</v>
      </c>
      <c r="G526" s="284"/>
      <c r="H526" s="285" t="s">
        <v>241</v>
      </c>
      <c r="I526" s="13" t="s">
        <v>192</v>
      </c>
      <c r="J526" s="503" t="s">
        <v>471</v>
      </c>
      <c r="K526" s="503"/>
      <c r="L526" s="503">
        <v>5.4</v>
      </c>
      <c r="M526" s="503">
        <v>5.4</v>
      </c>
      <c r="N526" s="505"/>
      <c r="O526" s="505"/>
      <c r="P526" s="13" t="s">
        <v>572</v>
      </c>
      <c r="Q526" s="13" t="s">
        <v>572</v>
      </c>
      <c r="R526" s="13" t="s">
        <v>459</v>
      </c>
      <c r="S526" s="18" t="s">
        <v>100</v>
      </c>
      <c r="T526" s="18">
        <v>0</v>
      </c>
      <c r="U526" s="18"/>
      <c r="V526" s="18"/>
      <c r="W526" s="18">
        <f t="shared" si="12"/>
        <v>0</v>
      </c>
      <c r="X526" s="18"/>
      <c r="Y526" s="18"/>
      <c r="Z526" s="21"/>
    </row>
    <row r="527" spans="3:26">
      <c r="C527" s="48" t="s">
        <v>1222</v>
      </c>
      <c r="D527" s="48" t="s">
        <v>1222</v>
      </c>
      <c r="E527" s="18" t="s">
        <v>1217</v>
      </c>
      <c r="F527" s="522" t="s">
        <v>511</v>
      </c>
      <c r="G527" s="284"/>
      <c r="H527" s="285" t="s">
        <v>241</v>
      </c>
      <c r="I527" s="13" t="s">
        <v>192</v>
      </c>
      <c r="J527" s="503" t="s">
        <v>368</v>
      </c>
      <c r="K527" s="503"/>
      <c r="L527" s="503">
        <v>10.85</v>
      </c>
      <c r="M527" s="503">
        <v>10.85</v>
      </c>
      <c r="N527" s="505"/>
      <c r="O527" s="505"/>
      <c r="P527" s="13" t="s">
        <v>572</v>
      </c>
      <c r="Q527" s="13" t="s">
        <v>572</v>
      </c>
      <c r="R527" s="13" t="s">
        <v>459</v>
      </c>
      <c r="S527" s="18" t="s">
        <v>100</v>
      </c>
      <c r="T527" s="18">
        <v>0</v>
      </c>
      <c r="U527" s="18"/>
      <c r="V527" s="18"/>
      <c r="W527" s="18">
        <f t="shared" si="12"/>
        <v>0</v>
      </c>
      <c r="X527" s="18"/>
      <c r="Y527" s="18"/>
      <c r="Z527" s="21"/>
    </row>
    <row r="528" spans="3:26">
      <c r="C528" s="48" t="s">
        <v>1222</v>
      </c>
      <c r="D528" s="48" t="s">
        <v>1222</v>
      </c>
      <c r="E528" s="18" t="s">
        <v>1217</v>
      </c>
      <c r="F528" s="522" t="s">
        <v>511</v>
      </c>
      <c r="G528" s="284"/>
      <c r="H528" s="285" t="s">
        <v>241</v>
      </c>
      <c r="I528" s="13" t="s">
        <v>27</v>
      </c>
      <c r="J528" s="503" t="s">
        <v>1397</v>
      </c>
      <c r="K528" s="503"/>
      <c r="L528" s="503">
        <v>3</v>
      </c>
      <c r="M528" s="503">
        <v>3</v>
      </c>
      <c r="N528" s="505"/>
      <c r="O528" s="505"/>
      <c r="P528" s="13" t="s">
        <v>572</v>
      </c>
      <c r="Q528" s="13" t="s">
        <v>572</v>
      </c>
      <c r="R528" s="13" t="s">
        <v>459</v>
      </c>
      <c r="S528" s="18" t="s">
        <v>100</v>
      </c>
      <c r="T528" s="18">
        <v>0</v>
      </c>
      <c r="U528" s="18"/>
      <c r="V528" s="18"/>
      <c r="W528" s="18">
        <f t="shared" si="12"/>
        <v>0</v>
      </c>
      <c r="X528" s="18"/>
      <c r="Y528" s="18"/>
      <c r="Z528" s="21"/>
    </row>
    <row r="529" spans="3:26">
      <c r="C529" s="48" t="s">
        <v>1222</v>
      </c>
      <c r="D529" s="48" t="s">
        <v>1222</v>
      </c>
      <c r="E529" s="18" t="s">
        <v>1217</v>
      </c>
      <c r="F529" s="522" t="s">
        <v>511</v>
      </c>
      <c r="G529" s="284"/>
      <c r="H529" s="285" t="s">
        <v>241</v>
      </c>
      <c r="I529" s="13" t="s">
        <v>192</v>
      </c>
      <c r="J529" s="503" t="s">
        <v>367</v>
      </c>
      <c r="K529" s="503"/>
      <c r="L529" s="503">
        <v>9.32</v>
      </c>
      <c r="M529" s="503">
        <v>9.32</v>
      </c>
      <c r="N529" s="505"/>
      <c r="O529" s="505"/>
      <c r="P529" s="13" t="s">
        <v>572</v>
      </c>
      <c r="Q529" s="13" t="s">
        <v>572</v>
      </c>
      <c r="R529" s="13" t="s">
        <v>459</v>
      </c>
      <c r="S529" s="18" t="s">
        <v>100</v>
      </c>
      <c r="T529" s="18">
        <v>0</v>
      </c>
      <c r="U529" s="18"/>
      <c r="V529" s="18"/>
      <c r="W529" s="18">
        <f t="shared" si="12"/>
        <v>0</v>
      </c>
      <c r="X529" s="18"/>
      <c r="Y529" s="18"/>
      <c r="Z529" s="21"/>
    </row>
    <row r="530" spans="3:26">
      <c r="C530" s="48" t="s">
        <v>1222</v>
      </c>
      <c r="D530" s="48" t="s">
        <v>1222</v>
      </c>
      <c r="E530" s="18" t="s">
        <v>1217</v>
      </c>
      <c r="F530" s="522" t="s">
        <v>511</v>
      </c>
      <c r="G530" s="284"/>
      <c r="H530" s="285" t="s">
        <v>241</v>
      </c>
      <c r="I530" s="13" t="s">
        <v>194</v>
      </c>
      <c r="J530" s="503" t="s">
        <v>194</v>
      </c>
      <c r="K530" s="503"/>
      <c r="L530" s="503">
        <v>95.85</v>
      </c>
      <c r="M530" s="503">
        <v>95.85</v>
      </c>
      <c r="N530" s="505"/>
      <c r="O530" s="505"/>
      <c r="P530" s="13" t="s">
        <v>268</v>
      </c>
      <c r="Q530" s="13" t="s">
        <v>269</v>
      </c>
      <c r="R530" s="13" t="s">
        <v>460</v>
      </c>
      <c r="T530" s="18"/>
      <c r="U530" s="18"/>
      <c r="V530" s="18"/>
      <c r="W530" s="18"/>
      <c r="X530" s="18"/>
      <c r="Y530" s="18"/>
      <c r="Z530" s="21"/>
    </row>
    <row r="531" spans="3:26">
      <c r="C531" s="48" t="s">
        <v>1222</v>
      </c>
      <c r="D531" s="48" t="s">
        <v>1222</v>
      </c>
      <c r="E531" s="18" t="s">
        <v>1217</v>
      </c>
      <c r="F531" s="522" t="s">
        <v>511</v>
      </c>
      <c r="G531" s="284" t="s">
        <v>1879</v>
      </c>
      <c r="H531" s="524" t="s">
        <v>242</v>
      </c>
      <c r="I531" s="13" t="s">
        <v>249</v>
      </c>
      <c r="J531" s="16" t="s">
        <v>1114</v>
      </c>
      <c r="K531" s="16" t="s">
        <v>498</v>
      </c>
      <c r="L531" s="16">
        <v>44.13</v>
      </c>
      <c r="M531" s="16">
        <v>44.13</v>
      </c>
      <c r="N531" s="196">
        <v>7</v>
      </c>
      <c r="O531" s="196" t="s">
        <v>1114</v>
      </c>
      <c r="P531" s="13" t="s">
        <v>268</v>
      </c>
      <c r="Q531" s="13" t="s">
        <v>269</v>
      </c>
      <c r="R531" s="13" t="s">
        <v>460</v>
      </c>
      <c r="S531" s="18" t="s">
        <v>360</v>
      </c>
      <c r="T531" s="18">
        <v>0</v>
      </c>
      <c r="U531" s="18"/>
      <c r="V531" s="18"/>
      <c r="W531" s="18">
        <f t="shared" si="12"/>
        <v>0</v>
      </c>
      <c r="X531" s="18"/>
      <c r="Y531" s="18"/>
      <c r="Z531" s="21"/>
    </row>
    <row r="532" spans="3:26" ht="45">
      <c r="C532" s="48" t="s">
        <v>1222</v>
      </c>
      <c r="D532" s="48" t="s">
        <v>1222</v>
      </c>
      <c r="E532" s="18" t="s">
        <v>1217</v>
      </c>
      <c r="F532" s="522" t="s">
        <v>511</v>
      </c>
      <c r="G532" s="284" t="s">
        <v>1879</v>
      </c>
      <c r="H532" s="524" t="s">
        <v>242</v>
      </c>
      <c r="I532" s="13" t="s">
        <v>208</v>
      </c>
      <c r="J532" s="60" t="s">
        <v>1702</v>
      </c>
      <c r="K532" s="16" t="s">
        <v>499</v>
      </c>
      <c r="L532" s="16">
        <v>29.45</v>
      </c>
      <c r="M532" s="16">
        <v>29.45</v>
      </c>
      <c r="N532" s="196">
        <v>3</v>
      </c>
      <c r="O532" s="196">
        <v>3</v>
      </c>
      <c r="P532" s="13" t="s">
        <v>268</v>
      </c>
      <c r="Q532" s="13" t="s">
        <v>269</v>
      </c>
      <c r="R532" s="13" t="s">
        <v>460</v>
      </c>
      <c r="S532" s="18" t="s">
        <v>360</v>
      </c>
      <c r="T532" s="18">
        <v>0</v>
      </c>
      <c r="U532" s="18"/>
      <c r="V532" s="18"/>
      <c r="W532" s="18">
        <f t="shared" si="12"/>
        <v>0</v>
      </c>
      <c r="X532" s="18"/>
      <c r="Y532" s="18"/>
      <c r="Z532" s="21"/>
    </row>
    <row r="533" spans="3:26" ht="45">
      <c r="C533" s="48" t="s">
        <v>1222</v>
      </c>
      <c r="D533" s="48" t="s">
        <v>1222</v>
      </c>
      <c r="E533" s="18" t="s">
        <v>1217</v>
      </c>
      <c r="F533" s="522" t="s">
        <v>511</v>
      </c>
      <c r="G533" s="284" t="s">
        <v>1879</v>
      </c>
      <c r="H533" s="524" t="s">
        <v>242</v>
      </c>
      <c r="I533" s="13" t="s">
        <v>208</v>
      </c>
      <c r="J533" s="60" t="s">
        <v>1703</v>
      </c>
      <c r="K533" s="16" t="s">
        <v>500</v>
      </c>
      <c r="L533" s="16">
        <v>29.45</v>
      </c>
      <c r="M533" s="16">
        <v>29.45</v>
      </c>
      <c r="N533" s="196">
        <v>3</v>
      </c>
      <c r="O533" s="196">
        <v>3</v>
      </c>
      <c r="P533" s="13" t="s">
        <v>268</v>
      </c>
      <c r="Q533" s="13" t="s">
        <v>269</v>
      </c>
      <c r="R533" s="13" t="s">
        <v>460</v>
      </c>
      <c r="S533" s="18" t="s">
        <v>360</v>
      </c>
      <c r="T533" s="18">
        <v>0</v>
      </c>
      <c r="U533" s="18"/>
      <c r="V533" s="18"/>
      <c r="W533" s="18">
        <f t="shared" si="12"/>
        <v>0</v>
      </c>
      <c r="X533" s="18"/>
      <c r="Y533" s="18"/>
      <c r="Z533" s="21"/>
    </row>
    <row r="534" spans="3:26" ht="30">
      <c r="C534" s="48" t="s">
        <v>1222</v>
      </c>
      <c r="D534" s="48" t="s">
        <v>1222</v>
      </c>
      <c r="E534" s="18" t="s">
        <v>1217</v>
      </c>
      <c r="F534" s="522" t="s">
        <v>511</v>
      </c>
      <c r="G534" s="284" t="s">
        <v>1879</v>
      </c>
      <c r="H534" s="524" t="s">
        <v>242</v>
      </c>
      <c r="I534" s="13" t="s">
        <v>208</v>
      </c>
      <c r="J534" s="60" t="s">
        <v>1704</v>
      </c>
      <c r="K534" s="16" t="s">
        <v>501</v>
      </c>
      <c r="L534" s="16">
        <v>29.45</v>
      </c>
      <c r="M534" s="16">
        <v>29.45</v>
      </c>
      <c r="N534" s="196">
        <v>3</v>
      </c>
      <c r="O534" s="196">
        <v>3</v>
      </c>
      <c r="P534" s="13" t="s">
        <v>268</v>
      </c>
      <c r="Q534" s="13" t="s">
        <v>269</v>
      </c>
      <c r="R534" s="13" t="s">
        <v>460</v>
      </c>
      <c r="S534" s="18" t="s">
        <v>360</v>
      </c>
      <c r="T534" s="18">
        <v>0</v>
      </c>
      <c r="U534" s="18"/>
      <c r="V534" s="18"/>
      <c r="W534" s="18">
        <f t="shared" si="12"/>
        <v>0</v>
      </c>
      <c r="X534" s="18"/>
      <c r="Y534" s="18"/>
      <c r="Z534" s="21"/>
    </row>
    <row r="535" spans="3:26" ht="45">
      <c r="C535" s="48" t="s">
        <v>1222</v>
      </c>
      <c r="D535" s="48" t="s">
        <v>1222</v>
      </c>
      <c r="E535" s="18" t="s">
        <v>1217</v>
      </c>
      <c r="F535" s="522" t="s">
        <v>511</v>
      </c>
      <c r="G535" s="284" t="s">
        <v>1879</v>
      </c>
      <c r="H535" s="524" t="s">
        <v>242</v>
      </c>
      <c r="I535" s="13" t="s">
        <v>208</v>
      </c>
      <c r="J535" s="60" t="s">
        <v>1705</v>
      </c>
      <c r="K535" s="16" t="s">
        <v>502</v>
      </c>
      <c r="L535" s="16">
        <v>29.45</v>
      </c>
      <c r="M535" s="16">
        <v>29.45</v>
      </c>
      <c r="N535" s="196">
        <v>3</v>
      </c>
      <c r="O535" s="196">
        <v>3</v>
      </c>
      <c r="P535" s="13" t="s">
        <v>268</v>
      </c>
      <c r="Q535" s="13" t="s">
        <v>269</v>
      </c>
      <c r="R535" s="13" t="s">
        <v>460</v>
      </c>
      <c r="S535" s="18" t="s">
        <v>360</v>
      </c>
      <c r="T535" s="18">
        <v>0</v>
      </c>
      <c r="U535" s="18"/>
      <c r="V535" s="18"/>
      <c r="W535" s="18">
        <f t="shared" si="12"/>
        <v>0</v>
      </c>
      <c r="X535" s="18"/>
      <c r="Y535" s="18"/>
      <c r="Z535" s="21"/>
    </row>
    <row r="536" spans="3:26" ht="30">
      <c r="C536" s="48" t="s">
        <v>1222</v>
      </c>
      <c r="D536" s="48" t="s">
        <v>1222</v>
      </c>
      <c r="E536" s="18" t="s">
        <v>1217</v>
      </c>
      <c r="F536" s="522" t="s">
        <v>511</v>
      </c>
      <c r="G536" s="284" t="s">
        <v>1879</v>
      </c>
      <c r="H536" s="524" t="s">
        <v>242</v>
      </c>
      <c r="I536" s="13" t="s">
        <v>208</v>
      </c>
      <c r="J536" s="60" t="s">
        <v>1706</v>
      </c>
      <c r="K536" s="16" t="s">
        <v>503</v>
      </c>
      <c r="L536" s="16">
        <v>29.45</v>
      </c>
      <c r="M536" s="16">
        <v>29.45</v>
      </c>
      <c r="N536" s="196">
        <v>3</v>
      </c>
      <c r="O536" s="196">
        <v>3</v>
      </c>
      <c r="P536" s="13" t="s">
        <v>268</v>
      </c>
      <c r="Q536" s="13" t="s">
        <v>269</v>
      </c>
      <c r="R536" s="13" t="s">
        <v>460</v>
      </c>
      <c r="S536" s="18" t="s">
        <v>360</v>
      </c>
      <c r="T536" s="18">
        <v>0</v>
      </c>
      <c r="U536" s="18"/>
      <c r="V536" s="18"/>
      <c r="W536" s="18">
        <f t="shared" si="12"/>
        <v>0</v>
      </c>
      <c r="X536" s="18"/>
      <c r="Y536" s="18"/>
      <c r="Z536" s="21"/>
    </row>
    <row r="537" spans="3:26" ht="45">
      <c r="C537" s="48" t="s">
        <v>1222</v>
      </c>
      <c r="D537" s="48" t="s">
        <v>1222</v>
      </c>
      <c r="E537" s="18" t="s">
        <v>1217</v>
      </c>
      <c r="F537" s="522" t="s">
        <v>511</v>
      </c>
      <c r="G537" s="284" t="s">
        <v>1879</v>
      </c>
      <c r="H537" s="524" t="s">
        <v>242</v>
      </c>
      <c r="I537" s="13" t="s">
        <v>208</v>
      </c>
      <c r="J537" s="60" t="s">
        <v>1707</v>
      </c>
      <c r="K537" s="16" t="s">
        <v>504</v>
      </c>
      <c r="L537" s="16">
        <v>29.16</v>
      </c>
      <c r="M537" s="16">
        <v>29.16</v>
      </c>
      <c r="N537" s="196">
        <v>3</v>
      </c>
      <c r="O537" s="196">
        <v>3</v>
      </c>
      <c r="P537" s="13" t="s">
        <v>268</v>
      </c>
      <c r="Q537" s="13" t="s">
        <v>269</v>
      </c>
      <c r="R537" s="13" t="s">
        <v>460</v>
      </c>
      <c r="S537" s="18" t="s">
        <v>360</v>
      </c>
      <c r="T537" s="18">
        <v>0</v>
      </c>
      <c r="U537" s="18"/>
      <c r="V537" s="18"/>
      <c r="W537" s="18">
        <f t="shared" si="12"/>
        <v>0</v>
      </c>
      <c r="X537" s="18"/>
      <c r="Y537" s="18"/>
      <c r="Z537" s="21"/>
    </row>
    <row r="538" spans="3:26" ht="45">
      <c r="C538" s="48" t="s">
        <v>1222</v>
      </c>
      <c r="D538" s="48" t="s">
        <v>1222</v>
      </c>
      <c r="E538" s="18" t="s">
        <v>1217</v>
      </c>
      <c r="F538" s="522" t="s">
        <v>511</v>
      </c>
      <c r="G538" s="284" t="s">
        <v>1879</v>
      </c>
      <c r="H538" s="524" t="s">
        <v>242</v>
      </c>
      <c r="I538" s="13" t="s">
        <v>208</v>
      </c>
      <c r="J538" s="60" t="s">
        <v>1708</v>
      </c>
      <c r="K538" s="16" t="s">
        <v>505</v>
      </c>
      <c r="L538" s="16">
        <v>29.12</v>
      </c>
      <c r="M538" s="16">
        <v>29.12</v>
      </c>
      <c r="N538" s="196">
        <v>3</v>
      </c>
      <c r="O538" s="196">
        <v>3</v>
      </c>
      <c r="P538" s="13" t="s">
        <v>268</v>
      </c>
      <c r="Q538" s="13" t="s">
        <v>269</v>
      </c>
      <c r="R538" s="13" t="s">
        <v>460</v>
      </c>
      <c r="S538" s="18" t="s">
        <v>360</v>
      </c>
      <c r="T538" s="18">
        <v>0</v>
      </c>
      <c r="U538" s="18"/>
      <c r="V538" s="18"/>
      <c r="W538" s="18">
        <f t="shared" si="12"/>
        <v>0</v>
      </c>
      <c r="X538" s="18"/>
      <c r="Y538" s="18"/>
      <c r="Z538" s="21"/>
    </row>
    <row r="539" spans="3:26" ht="30">
      <c r="C539" s="48" t="s">
        <v>1222</v>
      </c>
      <c r="D539" s="48" t="s">
        <v>1222</v>
      </c>
      <c r="E539" s="18" t="s">
        <v>1217</v>
      </c>
      <c r="F539" s="522" t="s">
        <v>511</v>
      </c>
      <c r="G539" s="284" t="s">
        <v>1879</v>
      </c>
      <c r="H539" s="524" t="s">
        <v>242</v>
      </c>
      <c r="I539" s="13" t="s">
        <v>208</v>
      </c>
      <c r="J539" s="60" t="s">
        <v>1709</v>
      </c>
      <c r="K539" s="16" t="s">
        <v>506</v>
      </c>
      <c r="L539" s="16">
        <v>29.12</v>
      </c>
      <c r="M539" s="16">
        <v>29.12</v>
      </c>
      <c r="N539" s="196">
        <v>3</v>
      </c>
      <c r="O539" s="196">
        <v>3</v>
      </c>
      <c r="P539" s="13" t="s">
        <v>268</v>
      </c>
      <c r="Q539" s="13" t="s">
        <v>269</v>
      </c>
      <c r="R539" s="13" t="s">
        <v>460</v>
      </c>
      <c r="S539" s="18" t="s">
        <v>360</v>
      </c>
      <c r="T539" s="18">
        <v>0</v>
      </c>
      <c r="U539" s="18"/>
      <c r="V539" s="18"/>
      <c r="W539" s="18">
        <f t="shared" si="12"/>
        <v>0</v>
      </c>
      <c r="X539" s="18"/>
      <c r="Y539" s="18"/>
      <c r="Z539" s="21"/>
    </row>
    <row r="540" spans="3:26" ht="45">
      <c r="C540" s="48" t="s">
        <v>1222</v>
      </c>
      <c r="D540" s="48" t="s">
        <v>1222</v>
      </c>
      <c r="E540" s="18" t="s">
        <v>1217</v>
      </c>
      <c r="F540" s="522" t="s">
        <v>511</v>
      </c>
      <c r="G540" s="284" t="s">
        <v>1879</v>
      </c>
      <c r="H540" s="524" t="s">
        <v>242</v>
      </c>
      <c r="I540" s="13" t="s">
        <v>208</v>
      </c>
      <c r="J540" s="60" t="s">
        <v>1710</v>
      </c>
      <c r="K540" s="16" t="s">
        <v>507</v>
      </c>
      <c r="L540" s="16">
        <v>29.41</v>
      </c>
      <c r="M540" s="16">
        <v>29.41</v>
      </c>
      <c r="N540" s="196">
        <v>3</v>
      </c>
      <c r="O540" s="196">
        <v>3</v>
      </c>
      <c r="P540" s="13" t="s">
        <v>268</v>
      </c>
      <c r="Q540" s="13" t="s">
        <v>269</v>
      </c>
      <c r="R540" s="13" t="s">
        <v>460</v>
      </c>
      <c r="S540" s="18" t="s">
        <v>360</v>
      </c>
      <c r="T540" s="18">
        <v>0</v>
      </c>
      <c r="U540" s="18"/>
      <c r="V540" s="18"/>
      <c r="W540" s="18">
        <f t="shared" si="12"/>
        <v>0</v>
      </c>
      <c r="X540" s="18"/>
      <c r="Y540" s="18"/>
      <c r="Z540" s="21"/>
    </row>
    <row r="541" spans="3:26" ht="30">
      <c r="C541" s="48" t="s">
        <v>1222</v>
      </c>
      <c r="D541" s="48" t="s">
        <v>1222</v>
      </c>
      <c r="E541" s="18" t="s">
        <v>1217</v>
      </c>
      <c r="F541" s="522" t="s">
        <v>511</v>
      </c>
      <c r="G541" s="284" t="s">
        <v>1879</v>
      </c>
      <c r="H541" s="524" t="s">
        <v>242</v>
      </c>
      <c r="I541" s="13" t="s">
        <v>208</v>
      </c>
      <c r="J541" s="60" t="s">
        <v>1711</v>
      </c>
      <c r="K541" s="16" t="s">
        <v>508</v>
      </c>
      <c r="L541" s="16">
        <v>29.41</v>
      </c>
      <c r="M541" s="16">
        <v>29.41</v>
      </c>
      <c r="N541" s="196">
        <v>3</v>
      </c>
      <c r="O541" s="196">
        <v>3</v>
      </c>
      <c r="P541" s="13" t="s">
        <v>268</v>
      </c>
      <c r="Q541" s="13" t="s">
        <v>269</v>
      </c>
      <c r="R541" s="13" t="s">
        <v>460</v>
      </c>
      <c r="S541" s="18" t="s">
        <v>360</v>
      </c>
      <c r="T541" s="18">
        <v>0</v>
      </c>
      <c r="U541" s="18"/>
      <c r="V541" s="18"/>
      <c r="W541" s="18">
        <f t="shared" si="12"/>
        <v>0</v>
      </c>
      <c r="X541" s="18"/>
      <c r="Y541" s="18"/>
      <c r="Z541" s="21"/>
    </row>
    <row r="542" spans="3:26" ht="45">
      <c r="C542" s="48" t="s">
        <v>1222</v>
      </c>
      <c r="D542" s="48" t="s">
        <v>1222</v>
      </c>
      <c r="E542" s="18" t="s">
        <v>1217</v>
      </c>
      <c r="F542" s="522" t="s">
        <v>511</v>
      </c>
      <c r="G542" s="284" t="s">
        <v>1879</v>
      </c>
      <c r="H542" s="524" t="s">
        <v>242</v>
      </c>
      <c r="I542" s="13" t="s">
        <v>208</v>
      </c>
      <c r="J542" s="60" t="s">
        <v>1712</v>
      </c>
      <c r="K542" s="16" t="s">
        <v>509</v>
      </c>
      <c r="L542" s="16">
        <v>29.12</v>
      </c>
      <c r="M542" s="16">
        <v>29.12</v>
      </c>
      <c r="N542" s="196">
        <v>3</v>
      </c>
      <c r="O542" s="196">
        <v>3</v>
      </c>
      <c r="P542" s="13" t="s">
        <v>268</v>
      </c>
      <c r="Q542" s="13" t="s">
        <v>269</v>
      </c>
      <c r="R542" s="13" t="s">
        <v>460</v>
      </c>
      <c r="S542" s="18" t="s">
        <v>360</v>
      </c>
      <c r="T542" s="18">
        <v>0</v>
      </c>
      <c r="U542" s="18"/>
      <c r="V542" s="18"/>
      <c r="W542" s="18">
        <f t="shared" si="12"/>
        <v>0</v>
      </c>
      <c r="X542" s="18"/>
      <c r="Y542" s="18"/>
      <c r="Z542" s="21"/>
    </row>
    <row r="543" spans="3:26">
      <c r="C543" s="48" t="s">
        <v>1222</v>
      </c>
      <c r="D543" s="48" t="s">
        <v>1222</v>
      </c>
      <c r="E543" s="18" t="s">
        <v>1217</v>
      </c>
      <c r="F543" s="522" t="s">
        <v>511</v>
      </c>
      <c r="G543" s="284"/>
      <c r="H543" s="524" t="s">
        <v>242</v>
      </c>
      <c r="I543" s="13" t="s">
        <v>355</v>
      </c>
      <c r="J543" s="503" t="s">
        <v>470</v>
      </c>
      <c r="K543" s="503"/>
      <c r="L543" s="525">
        <v>4.88</v>
      </c>
      <c r="M543" s="525">
        <v>4.88</v>
      </c>
      <c r="N543" s="505"/>
      <c r="O543" s="505"/>
      <c r="P543" s="13" t="s">
        <v>268</v>
      </c>
      <c r="Q543" s="13" t="s">
        <v>269</v>
      </c>
      <c r="R543" s="13" t="s">
        <v>460</v>
      </c>
      <c r="S543" s="18" t="s">
        <v>360</v>
      </c>
      <c r="T543" s="18"/>
      <c r="U543" s="18"/>
      <c r="V543" s="18"/>
      <c r="W543" s="18"/>
      <c r="X543" s="18"/>
      <c r="Y543" s="18"/>
      <c r="Z543" s="18"/>
    </row>
    <row r="544" spans="3:26">
      <c r="C544" s="48" t="s">
        <v>1222</v>
      </c>
      <c r="D544" s="48" t="s">
        <v>1222</v>
      </c>
      <c r="E544" s="18" t="s">
        <v>1217</v>
      </c>
      <c r="F544" s="522" t="s">
        <v>511</v>
      </c>
      <c r="G544" s="284"/>
      <c r="H544" s="524" t="s">
        <v>242</v>
      </c>
      <c r="I544" s="13" t="s">
        <v>192</v>
      </c>
      <c r="J544" s="503" t="s">
        <v>604</v>
      </c>
      <c r="K544" s="503"/>
      <c r="L544" s="525">
        <v>5.4</v>
      </c>
      <c r="M544" s="525">
        <v>5.4</v>
      </c>
      <c r="N544" s="505"/>
      <c r="O544" s="505"/>
      <c r="P544" s="13" t="s">
        <v>572</v>
      </c>
      <c r="Q544" s="13" t="s">
        <v>572</v>
      </c>
      <c r="R544" s="13" t="s">
        <v>459</v>
      </c>
      <c r="S544" s="18" t="s">
        <v>100</v>
      </c>
      <c r="T544" s="18"/>
      <c r="U544" s="18"/>
      <c r="V544" s="18"/>
      <c r="W544" s="18"/>
      <c r="X544" s="18"/>
      <c r="Y544" s="18"/>
      <c r="Z544" s="18"/>
    </row>
    <row r="545" spans="1:26">
      <c r="C545" s="48" t="s">
        <v>1222</v>
      </c>
      <c r="D545" s="48" t="s">
        <v>1222</v>
      </c>
      <c r="E545" s="18" t="s">
        <v>1217</v>
      </c>
      <c r="F545" s="522" t="s">
        <v>511</v>
      </c>
      <c r="G545" s="284"/>
      <c r="H545" s="524" t="s">
        <v>242</v>
      </c>
      <c r="I545" s="13" t="s">
        <v>192</v>
      </c>
      <c r="J545" s="503" t="s">
        <v>471</v>
      </c>
      <c r="K545" s="503"/>
      <c r="L545" s="525">
        <v>5.4</v>
      </c>
      <c r="M545" s="525">
        <v>5.4</v>
      </c>
      <c r="N545" s="505"/>
      <c r="O545" s="505"/>
      <c r="P545" s="13" t="s">
        <v>572</v>
      </c>
      <c r="Q545" s="13" t="s">
        <v>572</v>
      </c>
      <c r="R545" s="13" t="s">
        <v>459</v>
      </c>
      <c r="S545" s="18" t="s">
        <v>100</v>
      </c>
      <c r="T545" s="18"/>
      <c r="U545" s="18"/>
      <c r="V545" s="18"/>
      <c r="W545" s="18"/>
      <c r="X545" s="18"/>
      <c r="Y545" s="18"/>
      <c r="Z545" s="18"/>
    </row>
    <row r="546" spans="1:26">
      <c r="C546" s="48" t="s">
        <v>1222</v>
      </c>
      <c r="D546" s="48" t="s">
        <v>1222</v>
      </c>
      <c r="E546" s="18" t="s">
        <v>1217</v>
      </c>
      <c r="F546" s="522" t="s">
        <v>511</v>
      </c>
      <c r="G546" s="284"/>
      <c r="H546" s="524" t="s">
        <v>242</v>
      </c>
      <c r="I546" s="13" t="s">
        <v>192</v>
      </c>
      <c r="J546" s="503" t="s">
        <v>368</v>
      </c>
      <c r="K546" s="503"/>
      <c r="L546" s="525">
        <v>10.85</v>
      </c>
      <c r="M546" s="525">
        <v>10.85</v>
      </c>
      <c r="N546" s="505"/>
      <c r="O546" s="505"/>
      <c r="P546" s="13" t="s">
        <v>572</v>
      </c>
      <c r="Q546" s="13" t="s">
        <v>572</v>
      </c>
      <c r="R546" s="13" t="s">
        <v>459</v>
      </c>
      <c r="S546" s="18" t="s">
        <v>100</v>
      </c>
      <c r="T546" s="18"/>
      <c r="U546" s="18"/>
      <c r="V546" s="18"/>
      <c r="W546" s="18"/>
      <c r="X546" s="18"/>
      <c r="Y546" s="18"/>
      <c r="Z546" s="18"/>
    </row>
    <row r="547" spans="1:26">
      <c r="C547" s="48" t="s">
        <v>1222</v>
      </c>
      <c r="D547" s="48" t="s">
        <v>1222</v>
      </c>
      <c r="E547" s="18" t="s">
        <v>1217</v>
      </c>
      <c r="F547" s="522" t="s">
        <v>511</v>
      </c>
      <c r="G547" s="284"/>
      <c r="H547" s="524" t="s">
        <v>242</v>
      </c>
      <c r="I547" s="13" t="s">
        <v>27</v>
      </c>
      <c r="J547" s="503" t="s">
        <v>1397</v>
      </c>
      <c r="K547" s="503"/>
      <c r="L547" s="525">
        <v>3</v>
      </c>
      <c r="M547" s="525">
        <v>3</v>
      </c>
      <c r="N547" s="505"/>
      <c r="O547" s="505"/>
      <c r="P547" s="13" t="s">
        <v>572</v>
      </c>
      <c r="Q547" s="13" t="s">
        <v>572</v>
      </c>
      <c r="R547" s="13" t="s">
        <v>459</v>
      </c>
      <c r="S547" s="18" t="s">
        <v>100</v>
      </c>
      <c r="T547" s="18"/>
      <c r="U547" s="18"/>
      <c r="V547" s="18"/>
      <c r="W547" s="18"/>
      <c r="X547" s="18"/>
      <c r="Y547" s="18"/>
      <c r="Z547" s="18"/>
    </row>
    <row r="548" spans="1:26">
      <c r="C548" s="48" t="s">
        <v>1222</v>
      </c>
      <c r="D548" s="48" t="s">
        <v>1222</v>
      </c>
      <c r="E548" s="18" t="s">
        <v>1217</v>
      </c>
      <c r="F548" s="522" t="s">
        <v>511</v>
      </c>
      <c r="G548" s="284"/>
      <c r="H548" s="524" t="s">
        <v>242</v>
      </c>
      <c r="I548" s="13" t="s">
        <v>192</v>
      </c>
      <c r="J548" s="503" t="s">
        <v>367</v>
      </c>
      <c r="K548" s="503"/>
      <c r="L548" s="525">
        <v>9.32</v>
      </c>
      <c r="M548" s="525">
        <v>9.32</v>
      </c>
      <c r="N548" s="505"/>
      <c r="O548" s="505"/>
      <c r="P548" s="13" t="s">
        <v>572</v>
      </c>
      <c r="Q548" s="13" t="s">
        <v>572</v>
      </c>
      <c r="R548" s="13" t="s">
        <v>459</v>
      </c>
      <c r="S548" s="18" t="s">
        <v>100</v>
      </c>
      <c r="T548" s="18"/>
      <c r="U548" s="18"/>
      <c r="V548" s="18"/>
      <c r="W548" s="18"/>
      <c r="X548" s="18"/>
      <c r="Y548" s="18"/>
      <c r="Z548" s="18"/>
    </row>
    <row r="549" spans="1:26">
      <c r="A549">
        <f>SUM(L449:L549)</f>
        <v>2972.3099999999986</v>
      </c>
      <c r="C549" s="48" t="s">
        <v>1222</v>
      </c>
      <c r="D549" s="48" t="s">
        <v>1222</v>
      </c>
      <c r="E549" s="18" t="s">
        <v>1217</v>
      </c>
      <c r="F549" s="522" t="s">
        <v>511</v>
      </c>
      <c r="G549" s="284"/>
      <c r="H549" s="524" t="s">
        <v>242</v>
      </c>
      <c r="I549" s="13" t="s">
        <v>194</v>
      </c>
      <c r="J549" s="503" t="s">
        <v>194</v>
      </c>
      <c r="K549" s="503"/>
      <c r="L549" s="503">
        <v>95.85</v>
      </c>
      <c r="M549" s="503">
        <v>95.85</v>
      </c>
      <c r="N549" s="505"/>
      <c r="O549" s="505"/>
      <c r="P549" s="13" t="s">
        <v>268</v>
      </c>
      <c r="Q549" s="13" t="s">
        <v>269</v>
      </c>
      <c r="R549" s="13" t="s">
        <v>460</v>
      </c>
      <c r="T549" s="18"/>
      <c r="U549" s="18"/>
      <c r="V549" s="18"/>
      <c r="W549" s="18"/>
      <c r="X549" s="18"/>
      <c r="Y549" s="18"/>
      <c r="Z549" s="18"/>
    </row>
    <row r="550" spans="1:26">
      <c r="B550" s="2"/>
      <c r="C550" s="48" t="s">
        <v>1222</v>
      </c>
      <c r="D550" s="48" t="s">
        <v>1222</v>
      </c>
      <c r="E550" s="18" t="s">
        <v>1217</v>
      </c>
      <c r="F550" s="513" t="s">
        <v>512</v>
      </c>
      <c r="G550" s="284"/>
      <c r="H550" s="285" t="s">
        <v>219</v>
      </c>
      <c r="I550" s="39" t="s">
        <v>194</v>
      </c>
      <c r="J550" s="502" t="s">
        <v>454</v>
      </c>
      <c r="K550" s="507"/>
      <c r="L550" s="509">
        <v>147.38999999999999</v>
      </c>
      <c r="M550" s="509">
        <v>147.38999999999999</v>
      </c>
      <c r="N550" s="505"/>
      <c r="O550" s="505"/>
      <c r="P550" s="13" t="s">
        <v>268</v>
      </c>
      <c r="Q550" s="13" t="s">
        <v>269</v>
      </c>
      <c r="R550" s="13" t="s">
        <v>573</v>
      </c>
      <c r="S550" s="18" t="s">
        <v>360</v>
      </c>
      <c r="T550" s="18">
        <v>0</v>
      </c>
      <c r="U550" s="18"/>
      <c r="V550" s="18"/>
      <c r="W550" s="18">
        <f t="shared" si="12"/>
        <v>0</v>
      </c>
      <c r="X550" s="18"/>
      <c r="Y550" s="18"/>
      <c r="Z550" s="275" t="e">
        <f>SUM(#REF!)</f>
        <v>#REF!</v>
      </c>
    </row>
    <row r="551" spans="1:26">
      <c r="C551" s="48" t="s">
        <v>1222</v>
      </c>
      <c r="D551" s="48" t="s">
        <v>1222</v>
      </c>
      <c r="E551" s="18" t="s">
        <v>1217</v>
      </c>
      <c r="F551" s="513" t="s">
        <v>512</v>
      </c>
      <c r="G551" s="284"/>
      <c r="H551" s="285" t="s">
        <v>219</v>
      </c>
      <c r="I551" s="13" t="s">
        <v>192</v>
      </c>
      <c r="J551" s="502" t="s">
        <v>261</v>
      </c>
      <c r="K551" s="507"/>
      <c r="L551" s="509">
        <v>9.1</v>
      </c>
      <c r="M551" s="509">
        <v>9.1</v>
      </c>
      <c r="N551" s="505"/>
      <c r="O551" s="505"/>
      <c r="P551" s="13" t="s">
        <v>572</v>
      </c>
      <c r="Q551" s="13" t="s">
        <v>572</v>
      </c>
      <c r="R551" s="13" t="s">
        <v>573</v>
      </c>
      <c r="S551" s="18" t="s">
        <v>100</v>
      </c>
      <c r="T551" s="18">
        <v>0</v>
      </c>
      <c r="U551" s="18"/>
      <c r="V551" s="18"/>
      <c r="W551" s="18">
        <f t="shared" si="12"/>
        <v>0</v>
      </c>
      <c r="X551" s="18"/>
      <c r="Y551" s="18"/>
      <c r="Z551" s="275"/>
    </row>
    <row r="552" spans="1:26">
      <c r="C552" s="48" t="s">
        <v>1222</v>
      </c>
      <c r="D552" s="48" t="s">
        <v>1222</v>
      </c>
      <c r="E552" s="18" t="s">
        <v>1217</v>
      </c>
      <c r="F552" s="513" t="s">
        <v>512</v>
      </c>
      <c r="G552" s="284"/>
      <c r="H552" s="285" t="s">
        <v>219</v>
      </c>
      <c r="I552" s="13" t="s">
        <v>192</v>
      </c>
      <c r="J552" s="502" t="s">
        <v>514</v>
      </c>
      <c r="K552" s="507"/>
      <c r="L552" s="509">
        <v>10.41</v>
      </c>
      <c r="M552" s="509">
        <v>10.41</v>
      </c>
      <c r="N552" s="505"/>
      <c r="O552" s="505"/>
      <c r="P552" s="13" t="s">
        <v>572</v>
      </c>
      <c r="Q552" s="13" t="s">
        <v>572</v>
      </c>
      <c r="R552" s="13" t="s">
        <v>573</v>
      </c>
      <c r="S552" s="18" t="s">
        <v>100</v>
      </c>
      <c r="T552" s="18">
        <v>0</v>
      </c>
      <c r="U552" s="18"/>
      <c r="V552" s="18"/>
      <c r="W552" s="18">
        <f t="shared" si="12"/>
        <v>0</v>
      </c>
      <c r="X552" s="18"/>
      <c r="Y552" s="18"/>
      <c r="Z552" s="275"/>
    </row>
    <row r="553" spans="1:26">
      <c r="C553" s="48" t="s">
        <v>1222</v>
      </c>
      <c r="D553" s="48" t="s">
        <v>1222</v>
      </c>
      <c r="E553" s="18" t="s">
        <v>1217</v>
      </c>
      <c r="F553" s="513" t="s">
        <v>512</v>
      </c>
      <c r="G553" s="284"/>
      <c r="H553" s="285" t="s">
        <v>219</v>
      </c>
      <c r="I553" s="13" t="s">
        <v>192</v>
      </c>
      <c r="J553" s="502" t="s">
        <v>515</v>
      </c>
      <c r="K553" s="507"/>
      <c r="L553" s="509">
        <v>3.3</v>
      </c>
      <c r="M553" s="509">
        <v>3.3</v>
      </c>
      <c r="N553" s="505"/>
      <c r="O553" s="505"/>
      <c r="P553" s="13" t="s">
        <v>572</v>
      </c>
      <c r="Q553" s="13" t="s">
        <v>572</v>
      </c>
      <c r="R553" s="13" t="s">
        <v>573</v>
      </c>
      <c r="S553" s="18" t="s">
        <v>100</v>
      </c>
      <c r="T553" s="18">
        <v>0</v>
      </c>
      <c r="U553" s="18"/>
      <c r="V553" s="18"/>
      <c r="W553" s="18">
        <f t="shared" si="12"/>
        <v>0</v>
      </c>
      <c r="X553" s="18"/>
      <c r="Y553" s="18"/>
      <c r="Z553" s="275"/>
    </row>
    <row r="554" spans="1:26">
      <c r="C554" s="48" t="s">
        <v>1222</v>
      </c>
      <c r="D554" s="48" t="s">
        <v>1222</v>
      </c>
      <c r="E554" s="18" t="s">
        <v>1217</v>
      </c>
      <c r="F554" s="513" t="s">
        <v>512</v>
      </c>
      <c r="G554" s="284"/>
      <c r="H554" s="285" t="s">
        <v>219</v>
      </c>
      <c r="I554" s="13" t="s">
        <v>192</v>
      </c>
      <c r="J554" s="502" t="s">
        <v>513</v>
      </c>
      <c r="K554" s="507"/>
      <c r="L554" s="509">
        <v>3.3</v>
      </c>
      <c r="M554" s="509">
        <v>3.3</v>
      </c>
      <c r="N554" s="505"/>
      <c r="O554" s="505"/>
      <c r="P554" s="13" t="s">
        <v>572</v>
      </c>
      <c r="Q554" s="13" t="s">
        <v>572</v>
      </c>
      <c r="R554" s="13" t="s">
        <v>573</v>
      </c>
      <c r="S554" s="18" t="s">
        <v>100</v>
      </c>
      <c r="T554" s="18">
        <v>0</v>
      </c>
      <c r="U554" s="18"/>
      <c r="V554" s="18"/>
      <c r="W554" s="18">
        <f t="shared" si="12"/>
        <v>0</v>
      </c>
      <c r="X554" s="18"/>
      <c r="Y554" s="18"/>
      <c r="Z554" s="275"/>
    </row>
    <row r="555" spans="1:26">
      <c r="C555" s="48" t="s">
        <v>1222</v>
      </c>
      <c r="D555" s="48" t="s">
        <v>1222</v>
      </c>
      <c r="E555" s="18" t="s">
        <v>1217</v>
      </c>
      <c r="F555" s="513" t="s">
        <v>512</v>
      </c>
      <c r="G555" s="284" t="s">
        <v>1858</v>
      </c>
      <c r="H555" s="285" t="s">
        <v>219</v>
      </c>
      <c r="I555" s="13" t="s">
        <v>249</v>
      </c>
      <c r="J555" s="164" t="s">
        <v>1713</v>
      </c>
      <c r="K555" s="13" t="s">
        <v>1150</v>
      </c>
      <c r="L555" s="161">
        <v>8.9</v>
      </c>
      <c r="M555" s="161">
        <v>8.9</v>
      </c>
      <c r="N555" s="94"/>
      <c r="O555" s="94"/>
      <c r="P555" s="13" t="s">
        <v>268</v>
      </c>
      <c r="Q555" s="13" t="s">
        <v>457</v>
      </c>
      <c r="R555" s="13" t="s">
        <v>573</v>
      </c>
      <c r="S555" s="18" t="s">
        <v>360</v>
      </c>
      <c r="T555" s="18">
        <v>0</v>
      </c>
      <c r="U555" s="18"/>
      <c r="V555" s="18"/>
      <c r="W555" s="18">
        <f t="shared" si="12"/>
        <v>0</v>
      </c>
      <c r="X555" s="18"/>
      <c r="Y555" s="18"/>
      <c r="Z555" s="275"/>
    </row>
    <row r="556" spans="1:26">
      <c r="C556" s="48" t="s">
        <v>1222</v>
      </c>
      <c r="D556" s="48" t="s">
        <v>1222</v>
      </c>
      <c r="E556" s="18" t="s">
        <v>1217</v>
      </c>
      <c r="F556" s="513" t="s">
        <v>512</v>
      </c>
      <c r="G556" s="284" t="s">
        <v>1858</v>
      </c>
      <c r="H556" s="285" t="s">
        <v>219</v>
      </c>
      <c r="I556" s="13" t="s">
        <v>593</v>
      </c>
      <c r="J556" s="34" t="s">
        <v>1153</v>
      </c>
      <c r="K556" s="13" t="s">
        <v>1149</v>
      </c>
      <c r="L556" s="32">
        <v>112.82</v>
      </c>
      <c r="M556" s="32">
        <v>112.82</v>
      </c>
      <c r="N556" s="196">
        <v>25</v>
      </c>
      <c r="P556" s="13" t="s">
        <v>268</v>
      </c>
      <c r="Q556" s="13" t="s">
        <v>457</v>
      </c>
      <c r="R556" s="13" t="s">
        <v>573</v>
      </c>
      <c r="S556" s="18" t="s">
        <v>360</v>
      </c>
      <c r="T556" s="18">
        <v>0</v>
      </c>
      <c r="U556" s="18"/>
      <c r="V556" s="18"/>
      <c r="W556" s="18">
        <f t="shared" si="12"/>
        <v>0</v>
      </c>
      <c r="X556" s="18"/>
      <c r="Y556" s="18"/>
      <c r="Z556" s="275"/>
    </row>
    <row r="557" spans="1:26">
      <c r="C557" s="48" t="s">
        <v>1222</v>
      </c>
      <c r="D557" s="48" t="s">
        <v>1222</v>
      </c>
      <c r="E557" s="18" t="s">
        <v>1217</v>
      </c>
      <c r="F557" s="513" t="s">
        <v>512</v>
      </c>
      <c r="G557" s="284" t="s">
        <v>1858</v>
      </c>
      <c r="H557" s="285" t="s">
        <v>219</v>
      </c>
      <c r="I557" s="13" t="s">
        <v>208</v>
      </c>
      <c r="J557" s="16" t="s">
        <v>1714</v>
      </c>
      <c r="K557" s="13" t="s">
        <v>1151</v>
      </c>
      <c r="L557" s="32">
        <v>9.4</v>
      </c>
      <c r="M557" s="32">
        <v>9.4</v>
      </c>
      <c r="N557" s="196">
        <v>2</v>
      </c>
      <c r="P557" s="13" t="s">
        <v>268</v>
      </c>
      <c r="Q557" s="13" t="s">
        <v>457</v>
      </c>
      <c r="R557" s="13" t="s">
        <v>573</v>
      </c>
      <c r="S557" s="18" t="s">
        <v>360</v>
      </c>
      <c r="T557" s="18">
        <v>0</v>
      </c>
      <c r="U557" s="18"/>
      <c r="V557" s="18"/>
      <c r="W557" s="18">
        <f t="shared" si="12"/>
        <v>0</v>
      </c>
      <c r="X557" s="18"/>
      <c r="Y557" s="18"/>
      <c r="Z557" s="275"/>
    </row>
    <row r="558" spans="1:26">
      <c r="C558" s="48" t="s">
        <v>1222</v>
      </c>
      <c r="D558" s="48" t="s">
        <v>1222</v>
      </c>
      <c r="E558" s="18" t="s">
        <v>1217</v>
      </c>
      <c r="F558" s="513" t="s">
        <v>512</v>
      </c>
      <c r="G558" s="284" t="s">
        <v>1858</v>
      </c>
      <c r="H558" s="285" t="s">
        <v>219</v>
      </c>
      <c r="I558" s="13" t="s">
        <v>208</v>
      </c>
      <c r="J558" s="16" t="s">
        <v>1715</v>
      </c>
      <c r="K558" s="13" t="s">
        <v>1152</v>
      </c>
      <c r="L558" s="32">
        <v>9.4</v>
      </c>
      <c r="M558" s="32">
        <v>9.4</v>
      </c>
      <c r="N558" s="196">
        <v>2</v>
      </c>
      <c r="P558" s="13" t="s">
        <v>268</v>
      </c>
      <c r="Q558" s="13" t="s">
        <v>457</v>
      </c>
      <c r="R558" s="13" t="s">
        <v>573</v>
      </c>
      <c r="S558" s="18" t="s">
        <v>360</v>
      </c>
      <c r="T558" s="18">
        <v>0</v>
      </c>
      <c r="U558" s="18"/>
      <c r="V558" s="18"/>
      <c r="W558" s="18">
        <f t="shared" si="12"/>
        <v>0</v>
      </c>
      <c r="X558" s="18"/>
      <c r="Y558" s="18"/>
      <c r="Z558" s="275"/>
    </row>
    <row r="559" spans="1:26">
      <c r="C559" s="48" t="s">
        <v>1222</v>
      </c>
      <c r="D559" s="48" t="s">
        <v>1222</v>
      </c>
      <c r="E559" s="18" t="s">
        <v>1217</v>
      </c>
      <c r="F559" s="513" t="s">
        <v>512</v>
      </c>
      <c r="G559" s="284" t="s">
        <v>1858</v>
      </c>
      <c r="H559" s="285" t="s">
        <v>219</v>
      </c>
      <c r="I559" s="13" t="s">
        <v>593</v>
      </c>
      <c r="J559" s="34" t="s">
        <v>1154</v>
      </c>
      <c r="K559" s="13" t="s">
        <v>1155</v>
      </c>
      <c r="L559" s="32">
        <v>7.28</v>
      </c>
      <c r="M559" s="32">
        <v>7.28</v>
      </c>
      <c r="T559" s="18"/>
      <c r="U559" s="18"/>
      <c r="V559" s="18"/>
      <c r="W559" s="18"/>
      <c r="X559" s="18"/>
      <c r="Y559" s="18"/>
      <c r="Z559" s="275"/>
    </row>
    <row r="560" spans="1:26">
      <c r="C560" s="48" t="s">
        <v>1222</v>
      </c>
      <c r="D560" s="48" t="s">
        <v>1222</v>
      </c>
      <c r="E560" s="18" t="s">
        <v>1217</v>
      </c>
      <c r="F560" s="513" t="s">
        <v>512</v>
      </c>
      <c r="G560" s="284" t="s">
        <v>1858</v>
      </c>
      <c r="H560" s="285" t="s">
        <v>219</v>
      </c>
      <c r="I560" s="13" t="s">
        <v>208</v>
      </c>
      <c r="J560" s="16" t="s">
        <v>1716</v>
      </c>
      <c r="K560" s="13" t="s">
        <v>1158</v>
      </c>
      <c r="L560" s="32">
        <v>10</v>
      </c>
      <c r="M560" s="32">
        <v>10</v>
      </c>
      <c r="N560" s="196">
        <v>2</v>
      </c>
      <c r="P560" s="13" t="s">
        <v>268</v>
      </c>
      <c r="Q560" s="13" t="s">
        <v>457</v>
      </c>
      <c r="R560" s="13" t="s">
        <v>573</v>
      </c>
      <c r="S560" s="18" t="s">
        <v>360</v>
      </c>
      <c r="T560" s="18">
        <v>0</v>
      </c>
      <c r="U560" s="18"/>
      <c r="V560" s="18"/>
      <c r="W560" s="18">
        <f t="shared" si="12"/>
        <v>0</v>
      </c>
      <c r="X560" s="18"/>
      <c r="Y560" s="18"/>
      <c r="Z560" s="275"/>
    </row>
    <row r="561" spans="3:26">
      <c r="C561" s="48" t="s">
        <v>1222</v>
      </c>
      <c r="D561" s="48" t="s">
        <v>1222</v>
      </c>
      <c r="E561" s="18" t="s">
        <v>1217</v>
      </c>
      <c r="F561" s="513" t="s">
        <v>512</v>
      </c>
      <c r="G561" s="284" t="s">
        <v>1858</v>
      </c>
      <c r="H561" s="285" t="s">
        <v>219</v>
      </c>
      <c r="I561" s="13" t="s">
        <v>249</v>
      </c>
      <c r="J561" s="34" t="s">
        <v>1717</v>
      </c>
      <c r="K561" s="74" t="s">
        <v>1159</v>
      </c>
      <c r="L561" s="161">
        <v>10</v>
      </c>
      <c r="M561" s="161">
        <v>10</v>
      </c>
      <c r="N561" s="94"/>
      <c r="O561" s="94"/>
      <c r="P561" s="13" t="s">
        <v>268</v>
      </c>
      <c r="Q561" s="13" t="s">
        <v>457</v>
      </c>
      <c r="R561" s="13" t="s">
        <v>573</v>
      </c>
      <c r="S561" s="18" t="s">
        <v>360</v>
      </c>
      <c r="T561" s="18">
        <v>0</v>
      </c>
      <c r="U561" s="18"/>
      <c r="V561" s="18"/>
      <c r="W561" s="18">
        <f t="shared" si="12"/>
        <v>0</v>
      </c>
      <c r="X561" s="18"/>
      <c r="Y561" s="18"/>
      <c r="Z561" s="275"/>
    </row>
    <row r="562" spans="3:26">
      <c r="C562" s="48" t="s">
        <v>1222</v>
      </c>
      <c r="D562" s="48" t="s">
        <v>1222</v>
      </c>
      <c r="E562" s="18" t="s">
        <v>1217</v>
      </c>
      <c r="F562" s="513" t="s">
        <v>512</v>
      </c>
      <c r="G562" s="284" t="s">
        <v>1858</v>
      </c>
      <c r="H562" s="285" t="s">
        <v>219</v>
      </c>
      <c r="I562" s="13" t="s">
        <v>593</v>
      </c>
      <c r="J562" s="34" t="s">
        <v>1157</v>
      </c>
      <c r="K562" s="13" t="s">
        <v>1160</v>
      </c>
      <c r="L562" s="32">
        <v>117.33</v>
      </c>
      <c r="M562" s="32">
        <v>117.33</v>
      </c>
      <c r="N562" s="196">
        <v>25</v>
      </c>
      <c r="P562" s="13" t="s">
        <v>268</v>
      </c>
      <c r="Q562" s="13" t="s">
        <v>457</v>
      </c>
      <c r="R562" s="13" t="s">
        <v>573</v>
      </c>
      <c r="S562" s="18" t="s">
        <v>360</v>
      </c>
      <c r="T562" s="18">
        <v>0</v>
      </c>
      <c r="U562" s="18"/>
      <c r="V562" s="18"/>
      <c r="W562" s="18">
        <f t="shared" si="12"/>
        <v>0</v>
      </c>
      <c r="X562" s="18"/>
      <c r="Y562" s="18"/>
      <c r="Z562" s="275"/>
    </row>
    <row r="563" spans="3:26">
      <c r="C563" s="48" t="s">
        <v>1222</v>
      </c>
      <c r="D563" s="48" t="s">
        <v>1222</v>
      </c>
      <c r="E563" s="18" t="s">
        <v>1217</v>
      </c>
      <c r="F563" s="513" t="s">
        <v>512</v>
      </c>
      <c r="G563" s="284" t="s">
        <v>1858</v>
      </c>
      <c r="H563" s="285" t="s">
        <v>219</v>
      </c>
      <c r="I563" s="13" t="s">
        <v>593</v>
      </c>
      <c r="J563" s="34" t="s">
        <v>1156</v>
      </c>
      <c r="K563" s="13" t="s">
        <v>1161</v>
      </c>
      <c r="L563" s="32">
        <v>13.9</v>
      </c>
      <c r="M563" s="32">
        <v>13.9</v>
      </c>
      <c r="T563" s="18"/>
      <c r="U563" s="18"/>
      <c r="V563" s="18"/>
      <c r="W563" s="18"/>
      <c r="X563" s="18"/>
      <c r="Y563" s="18"/>
      <c r="Z563" s="275"/>
    </row>
    <row r="564" spans="3:26">
      <c r="C564" s="48" t="s">
        <v>1222</v>
      </c>
      <c r="D564" s="48" t="s">
        <v>1222</v>
      </c>
      <c r="E564" s="18" t="s">
        <v>1217</v>
      </c>
      <c r="F564" s="513" t="s">
        <v>512</v>
      </c>
      <c r="G564" s="284" t="s">
        <v>1858</v>
      </c>
      <c r="H564" s="285" t="s">
        <v>219</v>
      </c>
      <c r="I564" s="13" t="s">
        <v>208</v>
      </c>
      <c r="J564" s="16" t="s">
        <v>1718</v>
      </c>
      <c r="K564" s="13" t="s">
        <v>1162</v>
      </c>
      <c r="L564" s="32">
        <v>9.4</v>
      </c>
      <c r="M564" s="32">
        <v>9.4</v>
      </c>
      <c r="N564" s="196">
        <v>2</v>
      </c>
      <c r="P564" s="13" t="s">
        <v>268</v>
      </c>
      <c r="Q564" s="13" t="s">
        <v>457</v>
      </c>
      <c r="R564" s="13" t="s">
        <v>573</v>
      </c>
      <c r="S564" s="18" t="s">
        <v>360</v>
      </c>
      <c r="T564" s="18">
        <v>0</v>
      </c>
      <c r="U564" s="18"/>
      <c r="V564" s="18"/>
      <c r="W564" s="18">
        <f t="shared" si="12"/>
        <v>0</v>
      </c>
      <c r="X564" s="18"/>
      <c r="Y564" s="18"/>
      <c r="Z564" s="275"/>
    </row>
    <row r="565" spans="3:26">
      <c r="C565" s="48" t="s">
        <v>1222</v>
      </c>
      <c r="D565" s="48" t="s">
        <v>1222</v>
      </c>
      <c r="E565" s="18" t="s">
        <v>1217</v>
      </c>
      <c r="F565" s="513" t="s">
        <v>512</v>
      </c>
      <c r="G565" s="284" t="s">
        <v>1858</v>
      </c>
      <c r="H565" s="285" t="s">
        <v>219</v>
      </c>
      <c r="I565" s="13" t="s">
        <v>208</v>
      </c>
      <c r="J565" s="16" t="s">
        <v>1719</v>
      </c>
      <c r="K565" s="13" t="s">
        <v>1163</v>
      </c>
      <c r="L565" s="32">
        <v>9.4</v>
      </c>
      <c r="M565" s="32">
        <v>9.4</v>
      </c>
      <c r="N565" s="196">
        <v>2</v>
      </c>
      <c r="P565" s="13" t="s">
        <v>268</v>
      </c>
      <c r="Q565" s="13" t="s">
        <v>457</v>
      </c>
      <c r="R565" s="13" t="s">
        <v>573</v>
      </c>
      <c r="S565" s="18" t="s">
        <v>360</v>
      </c>
      <c r="T565" s="18">
        <v>0</v>
      </c>
      <c r="U565" s="18"/>
      <c r="V565" s="18"/>
      <c r="W565" s="18">
        <f t="shared" si="12"/>
        <v>0</v>
      </c>
      <c r="X565" s="18"/>
      <c r="Y565" s="18"/>
      <c r="Z565" s="275"/>
    </row>
    <row r="566" spans="3:26">
      <c r="C566" s="48" t="s">
        <v>1222</v>
      </c>
      <c r="D566" s="48" t="s">
        <v>1222</v>
      </c>
      <c r="E566" s="18" t="s">
        <v>1217</v>
      </c>
      <c r="F566" s="513" t="s">
        <v>512</v>
      </c>
      <c r="G566" s="284" t="s">
        <v>1858</v>
      </c>
      <c r="H566" s="285" t="s">
        <v>219</v>
      </c>
      <c r="I566" s="13" t="s">
        <v>208</v>
      </c>
      <c r="J566" s="16" t="s">
        <v>1720</v>
      </c>
      <c r="K566" s="13" t="s">
        <v>1164</v>
      </c>
      <c r="L566" s="32">
        <v>9.4</v>
      </c>
      <c r="M566" s="32">
        <v>9.4</v>
      </c>
      <c r="N566" s="196">
        <v>2</v>
      </c>
      <c r="P566" s="13" t="s">
        <v>268</v>
      </c>
      <c r="Q566" s="13" t="s">
        <v>457</v>
      </c>
      <c r="R566" s="13" t="s">
        <v>573</v>
      </c>
      <c r="S566" s="18" t="s">
        <v>360</v>
      </c>
      <c r="T566" s="18">
        <v>0</v>
      </c>
      <c r="U566" s="18"/>
      <c r="V566" s="18"/>
      <c r="W566" s="18">
        <f t="shared" si="12"/>
        <v>0</v>
      </c>
      <c r="X566" s="18"/>
      <c r="Y566" s="18"/>
      <c r="Z566" s="275"/>
    </row>
    <row r="567" spans="3:26">
      <c r="C567" s="48" t="s">
        <v>1222</v>
      </c>
      <c r="D567" s="48" t="s">
        <v>1222</v>
      </c>
      <c r="E567" s="18" t="s">
        <v>1217</v>
      </c>
      <c r="F567" s="513" t="s">
        <v>512</v>
      </c>
      <c r="G567" s="284" t="s">
        <v>1858</v>
      </c>
      <c r="H567" s="285" t="s">
        <v>219</v>
      </c>
      <c r="I567" s="13" t="s">
        <v>208</v>
      </c>
      <c r="J567" s="16" t="s">
        <v>1721</v>
      </c>
      <c r="K567" s="13" t="s">
        <v>1165</v>
      </c>
      <c r="L567" s="32">
        <v>9.4</v>
      </c>
      <c r="M567" s="32">
        <v>9.4</v>
      </c>
      <c r="N567" s="196">
        <v>2</v>
      </c>
      <c r="P567" s="13" t="s">
        <v>268</v>
      </c>
      <c r="Q567" s="13" t="s">
        <v>457</v>
      </c>
      <c r="R567" s="13" t="s">
        <v>573</v>
      </c>
      <c r="S567" s="18" t="s">
        <v>360</v>
      </c>
      <c r="T567" s="18">
        <v>0</v>
      </c>
      <c r="U567" s="18"/>
      <c r="V567" s="18"/>
      <c r="W567" s="18">
        <f t="shared" si="12"/>
        <v>0</v>
      </c>
      <c r="X567" s="18"/>
      <c r="Y567" s="18"/>
      <c r="Z567" s="275"/>
    </row>
    <row r="568" spans="3:26">
      <c r="C568" s="48" t="s">
        <v>1222</v>
      </c>
      <c r="D568" s="48" t="s">
        <v>1222</v>
      </c>
      <c r="E568" s="18" t="s">
        <v>1217</v>
      </c>
      <c r="F568" s="513" t="s">
        <v>512</v>
      </c>
      <c r="G568" s="284" t="s">
        <v>1858</v>
      </c>
      <c r="H568" s="285" t="s">
        <v>219</v>
      </c>
      <c r="I568" s="13" t="s">
        <v>593</v>
      </c>
      <c r="J568" s="34" t="s">
        <v>1171</v>
      </c>
      <c r="K568" s="13" t="s">
        <v>1167</v>
      </c>
      <c r="L568" s="32">
        <v>13.65</v>
      </c>
      <c r="M568" s="32">
        <v>13.65</v>
      </c>
      <c r="N568" s="196">
        <v>25</v>
      </c>
      <c r="P568" s="13" t="s">
        <v>268</v>
      </c>
      <c r="Q568" s="13" t="s">
        <v>457</v>
      </c>
      <c r="R568" s="13" t="s">
        <v>573</v>
      </c>
      <c r="S568" s="18" t="s">
        <v>360</v>
      </c>
      <c r="T568" s="18">
        <v>0</v>
      </c>
      <c r="U568" s="18"/>
      <c r="V568" s="18"/>
      <c r="W568" s="18">
        <f t="shared" si="12"/>
        <v>0</v>
      </c>
      <c r="X568" s="18"/>
      <c r="Y568" s="18"/>
      <c r="Z568" s="275"/>
    </row>
    <row r="569" spans="3:26">
      <c r="C569" s="48" t="s">
        <v>1222</v>
      </c>
      <c r="D569" s="48" t="s">
        <v>1222</v>
      </c>
      <c r="E569" s="18" t="s">
        <v>1217</v>
      </c>
      <c r="F569" s="513" t="s">
        <v>512</v>
      </c>
      <c r="G569" s="284" t="s">
        <v>1858</v>
      </c>
      <c r="H569" s="285" t="s">
        <v>219</v>
      </c>
      <c r="I569" s="13" t="s">
        <v>593</v>
      </c>
      <c r="J569" s="34" t="s">
        <v>1172</v>
      </c>
      <c r="K569" s="13" t="s">
        <v>1166</v>
      </c>
      <c r="L569" s="32">
        <v>13.63</v>
      </c>
      <c r="M569" s="32">
        <v>13.63</v>
      </c>
      <c r="N569" s="196">
        <v>25</v>
      </c>
      <c r="P569" s="13" t="s">
        <v>268</v>
      </c>
      <c r="Q569" s="13" t="s">
        <v>457</v>
      </c>
      <c r="R569" s="13" t="s">
        <v>573</v>
      </c>
      <c r="S569" s="18" t="s">
        <v>360</v>
      </c>
      <c r="T569" s="18">
        <v>0</v>
      </c>
      <c r="U569" s="18"/>
      <c r="V569" s="18"/>
      <c r="W569" s="18">
        <f t="shared" si="12"/>
        <v>0</v>
      </c>
      <c r="X569" s="18"/>
      <c r="Y569" s="18"/>
      <c r="Z569" s="275"/>
    </row>
    <row r="570" spans="3:26">
      <c r="C570" s="48" t="s">
        <v>1222</v>
      </c>
      <c r="D570" s="48" t="s">
        <v>1222</v>
      </c>
      <c r="E570" s="18" t="s">
        <v>1217</v>
      </c>
      <c r="F570" s="513" t="s">
        <v>512</v>
      </c>
      <c r="G570" s="284" t="s">
        <v>1858</v>
      </c>
      <c r="H570" s="285" t="s">
        <v>219</v>
      </c>
      <c r="I570" s="13" t="s">
        <v>593</v>
      </c>
      <c r="J570" s="34" t="s">
        <v>1173</v>
      </c>
      <c r="K570" s="13" t="s">
        <v>1168</v>
      </c>
      <c r="L570" s="32">
        <v>16.38</v>
      </c>
      <c r="M570" s="32">
        <v>16.38</v>
      </c>
      <c r="N570" s="196">
        <v>25</v>
      </c>
      <c r="P570" s="13" t="s">
        <v>268</v>
      </c>
      <c r="Q570" s="13" t="s">
        <v>457</v>
      </c>
      <c r="R570" s="13" t="s">
        <v>573</v>
      </c>
      <c r="S570" s="18" t="s">
        <v>360</v>
      </c>
      <c r="T570" s="18">
        <v>0</v>
      </c>
      <c r="U570" s="18"/>
      <c r="V570" s="18"/>
      <c r="W570" s="18">
        <f t="shared" si="12"/>
        <v>0</v>
      </c>
      <c r="X570" s="18"/>
      <c r="Y570" s="18"/>
      <c r="Z570" s="275"/>
    </row>
    <row r="571" spans="3:26">
      <c r="C571" s="48" t="s">
        <v>1222</v>
      </c>
      <c r="D571" s="48" t="s">
        <v>1222</v>
      </c>
      <c r="E571" s="18" t="s">
        <v>1217</v>
      </c>
      <c r="F571" s="513" t="s">
        <v>512</v>
      </c>
      <c r="G571" s="284" t="s">
        <v>1858</v>
      </c>
      <c r="H571" s="285" t="s">
        <v>219</v>
      </c>
      <c r="I571" s="13" t="s">
        <v>593</v>
      </c>
      <c r="J571" s="34" t="s">
        <v>1174</v>
      </c>
      <c r="K571" s="13" t="s">
        <v>1169</v>
      </c>
      <c r="L571" s="32">
        <v>16.38</v>
      </c>
      <c r="M571" s="32">
        <v>16.38</v>
      </c>
      <c r="N571" s="196">
        <v>25</v>
      </c>
      <c r="P571" s="13" t="s">
        <v>268</v>
      </c>
      <c r="Q571" s="13" t="s">
        <v>457</v>
      </c>
      <c r="R571" s="13" t="s">
        <v>573</v>
      </c>
      <c r="S571" s="18" t="s">
        <v>360</v>
      </c>
      <c r="T571" s="18">
        <v>0</v>
      </c>
      <c r="U571" s="18"/>
      <c r="V571" s="18"/>
      <c r="W571" s="18">
        <f t="shared" si="12"/>
        <v>0</v>
      </c>
      <c r="X571" s="18"/>
      <c r="Y571" s="18"/>
      <c r="Z571" s="275"/>
    </row>
    <row r="572" spans="3:26">
      <c r="C572" s="48" t="s">
        <v>1222</v>
      </c>
      <c r="D572" s="48" t="s">
        <v>1222</v>
      </c>
      <c r="E572" s="18" t="s">
        <v>1217</v>
      </c>
      <c r="F572" s="513" t="s">
        <v>512</v>
      </c>
      <c r="G572" s="284" t="s">
        <v>1858</v>
      </c>
      <c r="H572" s="285" t="s">
        <v>219</v>
      </c>
      <c r="I572" s="13" t="s">
        <v>593</v>
      </c>
      <c r="J572" s="34" t="s">
        <v>1175</v>
      </c>
      <c r="K572" s="13" t="s">
        <v>1170</v>
      </c>
      <c r="L572" s="32">
        <v>27.55</v>
      </c>
      <c r="M572" s="32">
        <v>27.55</v>
      </c>
      <c r="N572" s="523">
        <v>20</v>
      </c>
      <c r="O572" s="523"/>
      <c r="P572" s="13" t="s">
        <v>268</v>
      </c>
      <c r="Q572" s="13" t="s">
        <v>457</v>
      </c>
      <c r="R572" s="13" t="s">
        <v>573</v>
      </c>
      <c r="S572" s="18" t="s">
        <v>360</v>
      </c>
      <c r="T572" s="18">
        <v>0</v>
      </c>
      <c r="U572" s="18"/>
      <c r="V572" s="18"/>
      <c r="W572" s="18">
        <f t="shared" si="12"/>
        <v>0</v>
      </c>
      <c r="X572" s="18"/>
      <c r="Y572" s="18"/>
      <c r="Z572" s="275"/>
    </row>
    <row r="573" spans="3:26">
      <c r="C573" s="48" t="s">
        <v>1222</v>
      </c>
      <c r="D573" s="48" t="s">
        <v>1222</v>
      </c>
      <c r="E573" s="18" t="s">
        <v>1217</v>
      </c>
      <c r="F573" s="513" t="s">
        <v>512</v>
      </c>
      <c r="G573" s="284" t="s">
        <v>1858</v>
      </c>
      <c r="H573" s="285" t="s">
        <v>219</v>
      </c>
      <c r="I573" s="13" t="s">
        <v>249</v>
      </c>
      <c r="J573" s="16" t="s">
        <v>1722</v>
      </c>
      <c r="K573" s="13" t="s">
        <v>1178</v>
      </c>
      <c r="L573" s="32">
        <v>9.1199999999999992</v>
      </c>
      <c r="M573" s="32">
        <v>9.1199999999999992</v>
      </c>
      <c r="N573" s="196">
        <v>2</v>
      </c>
      <c r="P573" s="13" t="s">
        <v>268</v>
      </c>
      <c r="Q573" s="13" t="s">
        <v>457</v>
      </c>
      <c r="R573" s="13" t="s">
        <v>573</v>
      </c>
      <c r="S573" s="18" t="s">
        <v>360</v>
      </c>
      <c r="T573" s="18">
        <v>0</v>
      </c>
      <c r="U573" s="18"/>
      <c r="V573" s="18"/>
      <c r="W573" s="18">
        <f t="shared" si="12"/>
        <v>0</v>
      </c>
      <c r="X573" s="18"/>
      <c r="Y573" s="18"/>
      <c r="Z573" s="275"/>
    </row>
    <row r="574" spans="3:26">
      <c r="C574" s="48" t="s">
        <v>1222</v>
      </c>
      <c r="D574" s="48" t="s">
        <v>1222</v>
      </c>
      <c r="E574" s="18" t="s">
        <v>1217</v>
      </c>
      <c r="F574" s="513" t="s">
        <v>512</v>
      </c>
      <c r="G574" s="284" t="s">
        <v>1858</v>
      </c>
      <c r="H574" s="285" t="s">
        <v>219</v>
      </c>
      <c r="I574" s="13" t="s">
        <v>208</v>
      </c>
      <c r="J574" s="16" t="s">
        <v>1723</v>
      </c>
      <c r="K574" s="13" t="s">
        <v>1179</v>
      </c>
      <c r="L574" s="32">
        <v>9.4</v>
      </c>
      <c r="M574" s="32">
        <v>9.4</v>
      </c>
      <c r="N574" s="196">
        <v>2</v>
      </c>
      <c r="P574" s="13" t="s">
        <v>268</v>
      </c>
      <c r="Q574" s="13" t="s">
        <v>457</v>
      </c>
      <c r="R574" s="13" t="s">
        <v>573</v>
      </c>
      <c r="S574" s="18" t="s">
        <v>360</v>
      </c>
      <c r="T574" s="18">
        <v>0</v>
      </c>
      <c r="U574" s="18"/>
      <c r="V574" s="18"/>
      <c r="W574" s="18">
        <f t="shared" si="12"/>
        <v>0</v>
      </c>
      <c r="X574" s="18"/>
      <c r="Y574" s="18"/>
      <c r="Z574" s="275"/>
    </row>
    <row r="575" spans="3:26">
      <c r="C575" s="48" t="s">
        <v>1222</v>
      </c>
      <c r="D575" s="48" t="s">
        <v>1222</v>
      </c>
      <c r="E575" s="18" t="s">
        <v>1217</v>
      </c>
      <c r="F575" s="513" t="s">
        <v>512</v>
      </c>
      <c r="G575" s="284" t="s">
        <v>1858</v>
      </c>
      <c r="H575" s="285" t="s">
        <v>219</v>
      </c>
      <c r="I575" s="13" t="s">
        <v>208</v>
      </c>
      <c r="J575" s="16" t="s">
        <v>1724</v>
      </c>
      <c r="K575" s="13" t="s">
        <v>1180</v>
      </c>
      <c r="L575" s="32">
        <v>9.4</v>
      </c>
      <c r="M575" s="32">
        <v>9.4</v>
      </c>
      <c r="N575" s="196">
        <v>2</v>
      </c>
      <c r="P575" s="13" t="s">
        <v>268</v>
      </c>
      <c r="Q575" s="13" t="s">
        <v>457</v>
      </c>
      <c r="R575" s="13" t="s">
        <v>573</v>
      </c>
      <c r="S575" s="18" t="s">
        <v>360</v>
      </c>
      <c r="T575" s="18">
        <v>0</v>
      </c>
      <c r="U575" s="18"/>
      <c r="V575" s="18"/>
      <c r="W575" s="18">
        <f t="shared" si="12"/>
        <v>0</v>
      </c>
      <c r="X575" s="18"/>
      <c r="Y575" s="18"/>
      <c r="Z575" s="275"/>
    </row>
    <row r="576" spans="3:26">
      <c r="C576" s="48" t="s">
        <v>1222</v>
      </c>
      <c r="D576" s="48" t="s">
        <v>1222</v>
      </c>
      <c r="E576" s="18" t="s">
        <v>1217</v>
      </c>
      <c r="F576" s="513" t="s">
        <v>512</v>
      </c>
      <c r="G576" s="284" t="s">
        <v>1858</v>
      </c>
      <c r="H576" s="285" t="s">
        <v>219</v>
      </c>
      <c r="I576" s="13" t="s">
        <v>593</v>
      </c>
      <c r="J576" s="34" t="s">
        <v>517</v>
      </c>
      <c r="K576" s="13" t="s">
        <v>1177</v>
      </c>
      <c r="L576" s="32">
        <v>113.42</v>
      </c>
      <c r="M576" s="32">
        <v>113.42</v>
      </c>
      <c r="N576" s="196">
        <v>25</v>
      </c>
      <c r="P576" s="13" t="s">
        <v>268</v>
      </c>
      <c r="Q576" s="13" t="s">
        <v>457</v>
      </c>
      <c r="R576" s="13" t="s">
        <v>573</v>
      </c>
      <c r="S576" s="18" t="s">
        <v>360</v>
      </c>
      <c r="T576" s="18">
        <v>0</v>
      </c>
      <c r="U576" s="18"/>
      <c r="V576" s="18"/>
      <c r="W576" s="18">
        <f t="shared" si="12"/>
        <v>0</v>
      </c>
      <c r="X576" s="18"/>
      <c r="Y576" s="18"/>
      <c r="Z576" s="275"/>
    </row>
    <row r="577" spans="1:26">
      <c r="A577">
        <f>SUM(L550:L577)</f>
        <v>746.35999999999967</v>
      </c>
      <c r="C577" s="48" t="s">
        <v>1222</v>
      </c>
      <c r="D577" s="48" t="s">
        <v>1222</v>
      </c>
      <c r="E577" s="18" t="s">
        <v>1217</v>
      </c>
      <c r="F577" s="513" t="s">
        <v>512</v>
      </c>
      <c r="G577" s="284" t="s">
        <v>1858</v>
      </c>
      <c r="H577" s="285" t="s">
        <v>219</v>
      </c>
      <c r="I577" s="13" t="s">
        <v>593</v>
      </c>
      <c r="J577" s="34" t="s">
        <v>1176</v>
      </c>
      <c r="K577" s="13" t="s">
        <v>1181</v>
      </c>
      <c r="L577" s="32">
        <v>7.3</v>
      </c>
      <c r="M577" s="32">
        <v>7.3</v>
      </c>
      <c r="N577" s="196">
        <v>0</v>
      </c>
      <c r="P577" s="13" t="s">
        <v>268</v>
      </c>
      <c r="Q577" s="13" t="s">
        <v>457</v>
      </c>
      <c r="R577" s="13" t="s">
        <v>573</v>
      </c>
      <c r="S577" s="18" t="s">
        <v>360</v>
      </c>
      <c r="T577" s="18">
        <v>0</v>
      </c>
      <c r="U577" s="18"/>
      <c r="V577" s="18"/>
      <c r="W577" s="18">
        <f t="shared" ref="W577:W638" si="13">AVERAGE(T577:V577)</f>
        <v>0</v>
      </c>
      <c r="X577" s="18"/>
      <c r="Y577" s="18"/>
      <c r="Z577" s="275"/>
    </row>
    <row r="578" spans="1:26" ht="15" customHeight="1">
      <c r="B578" s="2"/>
      <c r="C578" s="48" t="s">
        <v>1222</v>
      </c>
      <c r="D578" s="48" t="s">
        <v>1222</v>
      </c>
      <c r="E578" s="18" t="s">
        <v>1217</v>
      </c>
      <c r="F578" s="526" t="s">
        <v>1218</v>
      </c>
      <c r="G578" s="283"/>
      <c r="H578" s="527" t="s">
        <v>536</v>
      </c>
      <c r="I578" s="39" t="s">
        <v>194</v>
      </c>
      <c r="J578" s="502" t="s">
        <v>523</v>
      </c>
      <c r="K578" s="507"/>
      <c r="L578" s="509">
        <v>3.97</v>
      </c>
      <c r="M578" s="509">
        <v>3.97</v>
      </c>
      <c r="N578" s="505"/>
      <c r="O578" s="505"/>
      <c r="P578" s="13" t="s">
        <v>268</v>
      </c>
      <c r="Q578" s="13" t="s">
        <v>269</v>
      </c>
      <c r="R578" s="13" t="s">
        <v>573</v>
      </c>
      <c r="S578" s="18" t="s">
        <v>360</v>
      </c>
      <c r="T578" s="18">
        <v>0</v>
      </c>
      <c r="U578" s="18"/>
      <c r="V578" s="18"/>
      <c r="W578" s="18">
        <f t="shared" si="13"/>
        <v>0</v>
      </c>
      <c r="X578" s="18"/>
      <c r="Y578" s="18"/>
      <c r="Z578" s="275" t="e">
        <f>SUM(#REF!,#REF!,#REF!)</f>
        <v>#REF!</v>
      </c>
    </row>
    <row r="579" spans="1:26">
      <c r="C579" s="48" t="s">
        <v>1222</v>
      </c>
      <c r="D579" s="48" t="s">
        <v>1222</v>
      </c>
      <c r="E579" s="18" t="s">
        <v>1217</v>
      </c>
      <c r="F579" s="526" t="s">
        <v>1218</v>
      </c>
      <c r="G579" s="283"/>
      <c r="H579" s="527" t="s">
        <v>536</v>
      </c>
      <c r="I579" s="39" t="s">
        <v>194</v>
      </c>
      <c r="J579" s="502" t="s">
        <v>524</v>
      </c>
      <c r="K579" s="507"/>
      <c r="L579" s="509">
        <v>11.24</v>
      </c>
      <c r="M579" s="509">
        <v>11.24</v>
      </c>
      <c r="N579" s="505"/>
      <c r="O579" s="505"/>
      <c r="P579" s="13" t="s">
        <v>268</v>
      </c>
      <c r="Q579" s="13" t="s">
        <v>269</v>
      </c>
      <c r="R579" s="13" t="s">
        <v>573</v>
      </c>
      <c r="S579" s="18" t="s">
        <v>360</v>
      </c>
      <c r="T579" s="18">
        <v>0</v>
      </c>
      <c r="U579" s="18"/>
      <c r="V579" s="18"/>
      <c r="W579" s="18">
        <f t="shared" si="13"/>
        <v>0</v>
      </c>
      <c r="X579" s="18"/>
      <c r="Y579" s="18"/>
      <c r="Z579" s="275"/>
    </row>
    <row r="580" spans="1:26">
      <c r="C580" s="48" t="s">
        <v>1222</v>
      </c>
      <c r="D580" s="48" t="s">
        <v>1222</v>
      </c>
      <c r="E580" s="18" t="s">
        <v>1217</v>
      </c>
      <c r="F580" s="526" t="s">
        <v>1218</v>
      </c>
      <c r="G580" s="283"/>
      <c r="H580" s="527" t="s">
        <v>536</v>
      </c>
      <c r="I580" s="39" t="s">
        <v>194</v>
      </c>
      <c r="J580" s="502" t="s">
        <v>525</v>
      </c>
      <c r="K580" s="507"/>
      <c r="L580" s="509">
        <v>92.64</v>
      </c>
      <c r="M580" s="509">
        <v>92.64</v>
      </c>
      <c r="N580" s="505"/>
      <c r="O580" s="505"/>
      <c r="P580" s="13" t="s">
        <v>268</v>
      </c>
      <c r="Q580" s="13" t="s">
        <v>269</v>
      </c>
      <c r="R580" s="13" t="s">
        <v>573</v>
      </c>
      <c r="S580" s="18" t="s">
        <v>360</v>
      </c>
      <c r="T580" s="18">
        <v>0</v>
      </c>
      <c r="U580" s="18"/>
      <c r="V580" s="18"/>
      <c r="W580" s="18">
        <f t="shared" si="13"/>
        <v>0</v>
      </c>
      <c r="X580" s="18"/>
      <c r="Y580" s="18"/>
      <c r="Z580" s="275"/>
    </row>
    <row r="581" spans="1:26">
      <c r="C581" s="48" t="s">
        <v>1222</v>
      </c>
      <c r="D581" s="48" t="s">
        <v>1222</v>
      </c>
      <c r="E581" s="18" t="s">
        <v>1217</v>
      </c>
      <c r="F581" s="526" t="s">
        <v>1218</v>
      </c>
      <c r="G581" s="283"/>
      <c r="H581" s="527" t="s">
        <v>536</v>
      </c>
      <c r="I581" s="39" t="s">
        <v>194</v>
      </c>
      <c r="J581" s="502" t="s">
        <v>526</v>
      </c>
      <c r="K581" s="507"/>
      <c r="L581" s="509">
        <v>27.66</v>
      </c>
      <c r="M581" s="509">
        <v>27.66</v>
      </c>
      <c r="N581" s="505"/>
      <c r="O581" s="505"/>
      <c r="P581" s="13" t="s">
        <v>268</v>
      </c>
      <c r="Q581" s="13" t="s">
        <v>269</v>
      </c>
      <c r="R581" s="13" t="s">
        <v>573</v>
      </c>
      <c r="S581" s="18" t="s">
        <v>360</v>
      </c>
      <c r="T581" s="18">
        <v>0</v>
      </c>
      <c r="U581" s="18"/>
      <c r="V581" s="18"/>
      <c r="W581" s="18">
        <f t="shared" si="13"/>
        <v>0</v>
      </c>
      <c r="X581" s="18"/>
      <c r="Y581" s="18"/>
      <c r="Z581" s="275"/>
    </row>
    <row r="582" spans="1:26">
      <c r="C582" s="48" t="s">
        <v>1222</v>
      </c>
      <c r="D582" s="48" t="s">
        <v>1222</v>
      </c>
      <c r="E582" s="18" t="s">
        <v>1217</v>
      </c>
      <c r="F582" s="526" t="s">
        <v>1218</v>
      </c>
      <c r="G582" s="283"/>
      <c r="H582" s="527" t="s">
        <v>536</v>
      </c>
      <c r="I582" s="39" t="s">
        <v>194</v>
      </c>
      <c r="J582" s="502" t="s">
        <v>527</v>
      </c>
      <c r="K582" s="507"/>
      <c r="L582" s="509">
        <v>45.95</v>
      </c>
      <c r="M582" s="509">
        <v>45.95</v>
      </c>
      <c r="N582" s="505"/>
      <c r="O582" s="505"/>
      <c r="P582" s="13" t="s">
        <v>268</v>
      </c>
      <c r="Q582" s="13" t="s">
        <v>269</v>
      </c>
      <c r="R582" s="13" t="s">
        <v>573</v>
      </c>
      <c r="S582" s="18" t="s">
        <v>360</v>
      </c>
      <c r="T582" s="18">
        <v>0</v>
      </c>
      <c r="U582" s="18"/>
      <c r="V582" s="18"/>
      <c r="W582" s="18">
        <f t="shared" si="13"/>
        <v>0</v>
      </c>
      <c r="X582" s="18"/>
      <c r="Y582" s="18"/>
      <c r="Z582" s="275"/>
    </row>
    <row r="583" spans="1:26">
      <c r="C583" s="48" t="s">
        <v>1222</v>
      </c>
      <c r="D583" s="48" t="s">
        <v>1222</v>
      </c>
      <c r="E583" s="18" t="s">
        <v>1217</v>
      </c>
      <c r="F583" s="526" t="s">
        <v>1218</v>
      </c>
      <c r="G583" s="283"/>
      <c r="H583" s="527" t="s">
        <v>536</v>
      </c>
      <c r="I583" s="13" t="s">
        <v>355</v>
      </c>
      <c r="J583" s="502" t="s">
        <v>528</v>
      </c>
      <c r="K583" s="507"/>
      <c r="L583" s="509">
        <v>19.649999999999999</v>
      </c>
      <c r="M583" s="509">
        <v>19.649999999999999</v>
      </c>
      <c r="N583" s="505"/>
      <c r="O583" s="505"/>
      <c r="P583" s="13" t="s">
        <v>268</v>
      </c>
      <c r="Q583" s="13" t="s">
        <v>457</v>
      </c>
      <c r="R583" s="13" t="s">
        <v>573</v>
      </c>
      <c r="S583" s="18" t="s">
        <v>360</v>
      </c>
      <c r="T583" s="18">
        <v>0</v>
      </c>
      <c r="U583" s="18"/>
      <c r="V583" s="18"/>
      <c r="W583" s="18">
        <f t="shared" si="13"/>
        <v>0</v>
      </c>
      <c r="X583" s="18"/>
      <c r="Y583" s="18"/>
      <c r="Z583" s="275"/>
    </row>
    <row r="584" spans="1:26">
      <c r="C584" s="48" t="s">
        <v>1222</v>
      </c>
      <c r="D584" s="48" t="s">
        <v>1222</v>
      </c>
      <c r="E584" s="18" t="s">
        <v>1217</v>
      </c>
      <c r="F584" s="526" t="s">
        <v>1218</v>
      </c>
      <c r="G584" s="283"/>
      <c r="H584" s="527" t="s">
        <v>536</v>
      </c>
      <c r="I584" s="13" t="s">
        <v>355</v>
      </c>
      <c r="J584" s="502" t="s">
        <v>529</v>
      </c>
      <c r="K584" s="507"/>
      <c r="L584" s="509">
        <v>20.07</v>
      </c>
      <c r="M584" s="509">
        <v>20.07</v>
      </c>
      <c r="N584" s="505"/>
      <c r="O584" s="505"/>
      <c r="P584" s="13" t="s">
        <v>268</v>
      </c>
      <c r="Q584" s="13" t="s">
        <v>457</v>
      </c>
      <c r="R584" s="13" t="s">
        <v>573</v>
      </c>
      <c r="S584" s="18" t="s">
        <v>360</v>
      </c>
      <c r="T584" s="18">
        <v>0</v>
      </c>
      <c r="U584" s="18"/>
      <c r="V584" s="18"/>
      <c r="W584" s="18">
        <f t="shared" si="13"/>
        <v>0</v>
      </c>
      <c r="X584" s="18"/>
      <c r="Y584" s="18"/>
      <c r="Z584" s="275"/>
    </row>
    <row r="585" spans="1:26">
      <c r="C585" s="48" t="s">
        <v>1222</v>
      </c>
      <c r="D585" s="48" t="s">
        <v>1222</v>
      </c>
      <c r="E585" s="18" t="s">
        <v>1217</v>
      </c>
      <c r="F585" s="526" t="s">
        <v>1218</v>
      </c>
      <c r="G585" s="283"/>
      <c r="H585" s="527" t="s">
        <v>536</v>
      </c>
      <c r="I585" s="13" t="s">
        <v>1313</v>
      </c>
      <c r="J585" s="502" t="s">
        <v>530</v>
      </c>
      <c r="K585" s="507"/>
      <c r="L585" s="509">
        <v>107.9</v>
      </c>
      <c r="M585" s="509">
        <v>107.9</v>
      </c>
      <c r="N585" s="505"/>
      <c r="O585" s="505"/>
      <c r="P585" s="13" t="s">
        <v>268</v>
      </c>
      <c r="Q585" s="13" t="s">
        <v>457</v>
      </c>
      <c r="R585" s="13" t="s">
        <v>573</v>
      </c>
      <c r="S585" s="18" t="s">
        <v>360</v>
      </c>
      <c r="T585" s="18">
        <v>0</v>
      </c>
      <c r="U585" s="18"/>
      <c r="V585" s="18"/>
      <c r="W585" s="18">
        <f t="shared" si="13"/>
        <v>0</v>
      </c>
      <c r="X585" s="18"/>
      <c r="Y585" s="18"/>
      <c r="Z585" s="275"/>
    </row>
    <row r="586" spans="1:26">
      <c r="C586" s="48" t="s">
        <v>1222</v>
      </c>
      <c r="D586" s="48" t="s">
        <v>1222</v>
      </c>
      <c r="E586" s="18" t="s">
        <v>1217</v>
      </c>
      <c r="F586" s="526" t="s">
        <v>1218</v>
      </c>
      <c r="G586" s="283"/>
      <c r="H586" s="527" t="s">
        <v>536</v>
      </c>
      <c r="I586" s="13" t="s">
        <v>192</v>
      </c>
      <c r="J586" s="502" t="s">
        <v>531</v>
      </c>
      <c r="K586" s="507"/>
      <c r="L586" s="509">
        <v>2.63</v>
      </c>
      <c r="M586" s="509">
        <v>2.63</v>
      </c>
      <c r="N586" s="505"/>
      <c r="O586" s="505"/>
      <c r="P586" s="13" t="s">
        <v>572</v>
      </c>
      <c r="Q586" s="13" t="s">
        <v>572</v>
      </c>
      <c r="R586" s="13" t="s">
        <v>573</v>
      </c>
      <c r="S586" s="18" t="s">
        <v>100</v>
      </c>
      <c r="T586" s="18">
        <v>0</v>
      </c>
      <c r="U586" s="18"/>
      <c r="V586" s="18"/>
      <c r="W586" s="18">
        <f t="shared" si="13"/>
        <v>0</v>
      </c>
      <c r="X586" s="18"/>
      <c r="Y586" s="18"/>
      <c r="Z586" s="275"/>
    </row>
    <row r="587" spans="1:26">
      <c r="C587" s="48" t="s">
        <v>1222</v>
      </c>
      <c r="D587" s="48" t="s">
        <v>1222</v>
      </c>
      <c r="E587" s="18" t="s">
        <v>1217</v>
      </c>
      <c r="F587" s="526" t="s">
        <v>1218</v>
      </c>
      <c r="G587" s="283"/>
      <c r="H587" s="527" t="s">
        <v>536</v>
      </c>
      <c r="I587" s="13" t="s">
        <v>192</v>
      </c>
      <c r="J587" s="502" t="s">
        <v>532</v>
      </c>
      <c r="K587" s="507"/>
      <c r="L587" s="509">
        <v>4.57</v>
      </c>
      <c r="M587" s="509">
        <v>4.57</v>
      </c>
      <c r="N587" s="505"/>
      <c r="O587" s="505"/>
      <c r="P587" s="13" t="s">
        <v>572</v>
      </c>
      <c r="Q587" s="13" t="s">
        <v>572</v>
      </c>
      <c r="R587" s="13" t="s">
        <v>573</v>
      </c>
      <c r="S587" s="18" t="s">
        <v>100</v>
      </c>
      <c r="T587" s="18">
        <v>0</v>
      </c>
      <c r="U587" s="18"/>
      <c r="V587" s="18"/>
      <c r="W587" s="18">
        <f t="shared" si="13"/>
        <v>0</v>
      </c>
      <c r="X587" s="18"/>
      <c r="Y587" s="18"/>
      <c r="Z587" s="275"/>
    </row>
    <row r="588" spans="1:26">
      <c r="C588" s="48" t="s">
        <v>1222</v>
      </c>
      <c r="D588" s="48" t="s">
        <v>1222</v>
      </c>
      <c r="E588" s="18" t="s">
        <v>1217</v>
      </c>
      <c r="F588" s="526" t="s">
        <v>1218</v>
      </c>
      <c r="G588" s="283"/>
      <c r="H588" s="527" t="s">
        <v>536</v>
      </c>
      <c r="I588" s="39" t="s">
        <v>194</v>
      </c>
      <c r="J588" s="502" t="s">
        <v>533</v>
      </c>
      <c r="K588" s="507"/>
      <c r="L588" s="509">
        <v>2.02</v>
      </c>
      <c r="M588" s="509">
        <v>2.02</v>
      </c>
      <c r="N588" s="505"/>
      <c r="O588" s="505"/>
      <c r="P588" s="13" t="s">
        <v>268</v>
      </c>
      <c r="Q588" s="13" t="s">
        <v>457</v>
      </c>
      <c r="R588" s="13" t="s">
        <v>573</v>
      </c>
      <c r="S588" s="18" t="s">
        <v>360</v>
      </c>
      <c r="T588" s="18">
        <v>0</v>
      </c>
      <c r="U588" s="18"/>
      <c r="V588" s="18"/>
      <c r="W588" s="18">
        <f t="shared" si="13"/>
        <v>0</v>
      </c>
      <c r="X588" s="18"/>
      <c r="Y588" s="18"/>
      <c r="Z588" s="275"/>
    </row>
    <row r="589" spans="1:26">
      <c r="C589" s="48" t="s">
        <v>1222</v>
      </c>
      <c r="D589" s="48" t="s">
        <v>1222</v>
      </c>
      <c r="E589" s="18" t="s">
        <v>1217</v>
      </c>
      <c r="F589" s="526" t="s">
        <v>1218</v>
      </c>
      <c r="G589" s="283"/>
      <c r="H589" s="527" t="s">
        <v>536</v>
      </c>
      <c r="I589" s="13" t="s">
        <v>355</v>
      </c>
      <c r="J589" s="502" t="s">
        <v>205</v>
      </c>
      <c r="K589" s="507"/>
      <c r="L589" s="509">
        <v>2.63</v>
      </c>
      <c r="M589" s="509">
        <v>2.63</v>
      </c>
      <c r="N589" s="505"/>
      <c r="O589" s="505"/>
      <c r="P589" s="13" t="s">
        <v>268</v>
      </c>
      <c r="Q589" s="13" t="s">
        <v>457</v>
      </c>
      <c r="R589" s="13" t="s">
        <v>573</v>
      </c>
      <c r="S589" s="18" t="s">
        <v>360</v>
      </c>
      <c r="T589" s="18">
        <v>0</v>
      </c>
      <c r="U589" s="18"/>
      <c r="V589" s="18"/>
      <c r="W589" s="18">
        <f t="shared" si="13"/>
        <v>0</v>
      </c>
      <c r="X589" s="18"/>
      <c r="Y589" s="18"/>
      <c r="Z589" s="275"/>
    </row>
    <row r="590" spans="1:26">
      <c r="C590" s="48" t="s">
        <v>1222</v>
      </c>
      <c r="D590" s="48" t="s">
        <v>1222</v>
      </c>
      <c r="E590" s="18" t="s">
        <v>1217</v>
      </c>
      <c r="F590" s="526" t="s">
        <v>1218</v>
      </c>
      <c r="G590" s="283"/>
      <c r="H590" s="527" t="s">
        <v>536</v>
      </c>
      <c r="I590" s="13" t="s">
        <v>355</v>
      </c>
      <c r="J590" s="502" t="s">
        <v>534</v>
      </c>
      <c r="K590" s="507"/>
      <c r="L590" s="509">
        <v>2.65</v>
      </c>
      <c r="M590" s="509">
        <v>2.65</v>
      </c>
      <c r="N590" s="505"/>
      <c r="O590" s="505"/>
      <c r="P590" s="13" t="s">
        <v>268</v>
      </c>
      <c r="Q590" s="13" t="s">
        <v>457</v>
      </c>
      <c r="R590" s="13" t="s">
        <v>573</v>
      </c>
      <c r="S590" s="18" t="s">
        <v>360</v>
      </c>
      <c r="T590" s="18">
        <v>0</v>
      </c>
      <c r="U590" s="18"/>
      <c r="V590" s="18"/>
      <c r="W590" s="18">
        <f t="shared" si="13"/>
        <v>0</v>
      </c>
      <c r="X590" s="18"/>
      <c r="Y590" s="18"/>
      <c r="Z590" s="275"/>
    </row>
    <row r="591" spans="1:26">
      <c r="C591" s="48" t="s">
        <v>1222</v>
      </c>
      <c r="D591" s="48" t="s">
        <v>1222</v>
      </c>
      <c r="E591" s="18" t="s">
        <v>1217</v>
      </c>
      <c r="F591" s="526" t="s">
        <v>1218</v>
      </c>
      <c r="G591" s="283"/>
      <c r="H591" s="527" t="s">
        <v>536</v>
      </c>
      <c r="I591" s="13" t="s">
        <v>355</v>
      </c>
      <c r="J591" s="502" t="s">
        <v>338</v>
      </c>
      <c r="K591" s="507"/>
      <c r="L591" s="509">
        <v>14.36</v>
      </c>
      <c r="M591" s="509">
        <v>14.36</v>
      </c>
      <c r="N591" s="505"/>
      <c r="O591" s="505"/>
      <c r="P591" s="13" t="s">
        <v>268</v>
      </c>
      <c r="Q591" s="13" t="s">
        <v>457</v>
      </c>
      <c r="R591" s="13" t="s">
        <v>573</v>
      </c>
      <c r="S591" s="18" t="s">
        <v>360</v>
      </c>
      <c r="T591" s="18">
        <v>0</v>
      </c>
      <c r="U591" s="18"/>
      <c r="V591" s="18"/>
      <c r="W591" s="18">
        <f t="shared" si="13"/>
        <v>0</v>
      </c>
      <c r="X591" s="18"/>
      <c r="Y591" s="18"/>
      <c r="Z591" s="275"/>
    </row>
    <row r="592" spans="1:26">
      <c r="C592" s="48" t="s">
        <v>1222</v>
      </c>
      <c r="D592" s="48" t="s">
        <v>1222</v>
      </c>
      <c r="E592" s="18" t="s">
        <v>1217</v>
      </c>
      <c r="F592" s="526" t="s">
        <v>1218</v>
      </c>
      <c r="G592" s="283"/>
      <c r="H592" s="527" t="s">
        <v>536</v>
      </c>
      <c r="I592" s="13" t="s">
        <v>355</v>
      </c>
      <c r="J592" s="502" t="s">
        <v>535</v>
      </c>
      <c r="K592" s="507"/>
      <c r="L592" s="509">
        <v>17.420000000000002</v>
      </c>
      <c r="M592" s="509">
        <v>17.420000000000002</v>
      </c>
      <c r="N592" s="505"/>
      <c r="O592" s="505"/>
      <c r="P592" s="13" t="s">
        <v>268</v>
      </c>
      <c r="Q592" s="13" t="s">
        <v>457</v>
      </c>
      <c r="R592" s="13" t="s">
        <v>573</v>
      </c>
      <c r="S592" s="18" t="s">
        <v>360</v>
      </c>
      <c r="T592" s="18">
        <v>0</v>
      </c>
      <c r="U592" s="18"/>
      <c r="V592" s="18"/>
      <c r="W592" s="18">
        <f t="shared" si="13"/>
        <v>0</v>
      </c>
      <c r="X592" s="18"/>
      <c r="Y592" s="18"/>
      <c r="Z592" s="275"/>
    </row>
    <row r="593" spans="3:26">
      <c r="C593" s="48" t="s">
        <v>1222</v>
      </c>
      <c r="D593" s="48" t="s">
        <v>1222</v>
      </c>
      <c r="E593" s="18" t="s">
        <v>1217</v>
      </c>
      <c r="F593" s="526" t="s">
        <v>1218</v>
      </c>
      <c r="G593" s="283"/>
      <c r="H593" s="527" t="s">
        <v>536</v>
      </c>
      <c r="I593" s="13" t="s">
        <v>27</v>
      </c>
      <c r="J593" s="502" t="s">
        <v>1398</v>
      </c>
      <c r="K593" s="507"/>
      <c r="L593" s="509">
        <v>4.22</v>
      </c>
      <c r="M593" s="509">
        <v>4.22</v>
      </c>
      <c r="N593" s="505"/>
      <c r="O593" s="505"/>
      <c r="P593" s="13" t="s">
        <v>572</v>
      </c>
      <c r="Q593" s="13" t="s">
        <v>457</v>
      </c>
      <c r="R593" s="13" t="s">
        <v>573</v>
      </c>
      <c r="S593" s="18" t="s">
        <v>360</v>
      </c>
      <c r="T593" s="18">
        <v>0</v>
      </c>
      <c r="U593" s="18"/>
      <c r="V593" s="18"/>
      <c r="W593" s="18">
        <f t="shared" si="13"/>
        <v>0</v>
      </c>
      <c r="X593" s="18"/>
      <c r="Y593" s="18"/>
      <c r="Z593" s="275"/>
    </row>
    <row r="594" spans="3:26">
      <c r="C594" s="48" t="s">
        <v>1222</v>
      </c>
      <c r="D594" s="48" t="s">
        <v>1222</v>
      </c>
      <c r="E594" s="18" t="s">
        <v>1217</v>
      </c>
      <c r="F594" s="526" t="s">
        <v>1218</v>
      </c>
      <c r="G594" s="283"/>
      <c r="H594" s="527" t="s">
        <v>536</v>
      </c>
      <c r="I594" s="13" t="s">
        <v>192</v>
      </c>
      <c r="J594" s="502" t="s">
        <v>369</v>
      </c>
      <c r="K594" s="507"/>
      <c r="L594" s="509">
        <v>2.4900000000000002</v>
      </c>
      <c r="M594" s="509">
        <v>2.4900000000000002</v>
      </c>
      <c r="N594" s="505"/>
      <c r="O594" s="505"/>
      <c r="P594" s="13" t="s">
        <v>572</v>
      </c>
      <c r="Q594" s="13" t="s">
        <v>572</v>
      </c>
      <c r="R594" s="13" t="s">
        <v>573</v>
      </c>
      <c r="S594" s="18" t="s">
        <v>100</v>
      </c>
      <c r="T594" s="18">
        <v>0</v>
      </c>
      <c r="U594" s="18"/>
      <c r="V594" s="18"/>
      <c r="W594" s="18">
        <f t="shared" si="13"/>
        <v>0</v>
      </c>
      <c r="X594" s="18"/>
      <c r="Y594" s="18"/>
      <c r="Z594" s="275"/>
    </row>
    <row r="595" spans="3:26">
      <c r="C595" s="48" t="s">
        <v>1222</v>
      </c>
      <c r="D595" s="48" t="s">
        <v>1222</v>
      </c>
      <c r="E595" s="18" t="s">
        <v>1217</v>
      </c>
      <c r="F595" s="526" t="s">
        <v>1218</v>
      </c>
      <c r="G595" s="283" t="s">
        <v>1858</v>
      </c>
      <c r="H595" s="527" t="s">
        <v>536</v>
      </c>
      <c r="I595" s="13" t="s">
        <v>1371</v>
      </c>
      <c r="J595" s="16" t="s">
        <v>1725</v>
      </c>
      <c r="K595" s="13" t="s">
        <v>1726</v>
      </c>
      <c r="L595" s="32">
        <v>15.73</v>
      </c>
      <c r="M595" s="32">
        <v>15.73</v>
      </c>
      <c r="N595" s="196">
        <v>2</v>
      </c>
      <c r="P595" s="13" t="s">
        <v>268</v>
      </c>
      <c r="Q595" s="13" t="s">
        <v>269</v>
      </c>
      <c r="R595" s="13" t="s">
        <v>573</v>
      </c>
      <c r="S595" s="19" t="s">
        <v>360</v>
      </c>
      <c r="T595" s="18">
        <v>0</v>
      </c>
      <c r="U595" s="18"/>
      <c r="V595" s="18"/>
      <c r="W595" s="18">
        <f t="shared" si="13"/>
        <v>0</v>
      </c>
      <c r="X595" s="18"/>
      <c r="Y595" s="18"/>
      <c r="Z595" s="275"/>
    </row>
    <row r="596" spans="3:26">
      <c r="C596" s="48" t="s">
        <v>1222</v>
      </c>
      <c r="D596" s="48" t="s">
        <v>1222</v>
      </c>
      <c r="E596" s="18" t="s">
        <v>1217</v>
      </c>
      <c r="F596" s="526" t="s">
        <v>1218</v>
      </c>
      <c r="G596" s="283"/>
      <c r="H596" s="527" t="s">
        <v>536</v>
      </c>
      <c r="I596" s="555" t="s">
        <v>192</v>
      </c>
      <c r="J596" s="34" t="s">
        <v>245</v>
      </c>
      <c r="L596" s="32">
        <v>5.85</v>
      </c>
      <c r="M596" s="32">
        <v>5.85</v>
      </c>
      <c r="N596" s="213"/>
      <c r="P596" s="13" t="s">
        <v>572</v>
      </c>
      <c r="Q596" s="13" t="s">
        <v>572</v>
      </c>
      <c r="R596" s="13" t="s">
        <v>573</v>
      </c>
      <c r="S596" s="19" t="s">
        <v>100</v>
      </c>
      <c r="T596" s="18">
        <v>0</v>
      </c>
      <c r="U596" s="18"/>
      <c r="V596" s="18"/>
      <c r="W596" s="18">
        <f t="shared" si="13"/>
        <v>0</v>
      </c>
      <c r="X596" s="18"/>
      <c r="Y596" s="18"/>
      <c r="Z596" s="275"/>
    </row>
    <row r="597" spans="3:26">
      <c r="C597" s="48" t="s">
        <v>1222</v>
      </c>
      <c r="D597" s="48" t="s">
        <v>1222</v>
      </c>
      <c r="E597" s="18" t="s">
        <v>1217</v>
      </c>
      <c r="F597" s="526" t="s">
        <v>1218</v>
      </c>
      <c r="G597" s="283" t="s">
        <v>1858</v>
      </c>
      <c r="H597" s="527" t="s">
        <v>536</v>
      </c>
      <c r="I597" s="13" t="s">
        <v>1371</v>
      </c>
      <c r="J597" s="196" t="s">
        <v>1727</v>
      </c>
      <c r="K597" s="13" t="s">
        <v>1728</v>
      </c>
      <c r="L597" s="32">
        <v>16.350000000000001</v>
      </c>
      <c r="M597" s="32">
        <v>16.350000000000001</v>
      </c>
      <c r="N597" s="196">
        <v>2</v>
      </c>
      <c r="P597" s="13" t="s">
        <v>268</v>
      </c>
      <c r="Q597" s="13" t="s">
        <v>269</v>
      </c>
      <c r="R597" s="13" t="s">
        <v>573</v>
      </c>
      <c r="S597" s="19" t="s">
        <v>360</v>
      </c>
      <c r="T597" s="18">
        <v>0</v>
      </c>
      <c r="U597" s="18"/>
      <c r="V597" s="18"/>
      <c r="W597" s="18">
        <f t="shared" si="13"/>
        <v>0</v>
      </c>
      <c r="X597" s="18"/>
      <c r="Y597" s="18"/>
      <c r="Z597" s="275"/>
    </row>
    <row r="598" spans="3:26">
      <c r="C598" s="48" t="s">
        <v>1222</v>
      </c>
      <c r="D598" s="48" t="s">
        <v>1222</v>
      </c>
      <c r="E598" s="18" t="s">
        <v>1217</v>
      </c>
      <c r="F598" s="526" t="s">
        <v>1218</v>
      </c>
      <c r="G598" s="283"/>
      <c r="H598" s="527" t="s">
        <v>536</v>
      </c>
      <c r="I598" s="555" t="s">
        <v>192</v>
      </c>
      <c r="J598" s="34" t="s">
        <v>245</v>
      </c>
      <c r="L598" s="32">
        <v>5.85</v>
      </c>
      <c r="M598" s="32">
        <v>5.85</v>
      </c>
      <c r="N598" s="213"/>
      <c r="P598" s="13" t="s">
        <v>572</v>
      </c>
      <c r="Q598" s="13" t="s">
        <v>572</v>
      </c>
      <c r="R598" s="13" t="s">
        <v>573</v>
      </c>
      <c r="S598" s="19" t="s">
        <v>100</v>
      </c>
      <c r="T598" s="18">
        <v>0</v>
      </c>
      <c r="U598" s="18"/>
      <c r="V598" s="18"/>
      <c r="W598" s="18">
        <f t="shared" si="13"/>
        <v>0</v>
      </c>
      <c r="X598" s="18"/>
      <c r="Y598" s="18"/>
      <c r="Z598" s="275"/>
    </row>
    <row r="599" spans="3:26">
      <c r="C599" s="48" t="s">
        <v>1222</v>
      </c>
      <c r="D599" s="48" t="s">
        <v>1222</v>
      </c>
      <c r="E599" s="18" t="s">
        <v>1217</v>
      </c>
      <c r="F599" s="526" t="s">
        <v>1218</v>
      </c>
      <c r="G599" s="283" t="s">
        <v>1858</v>
      </c>
      <c r="H599" s="527" t="s">
        <v>536</v>
      </c>
      <c r="I599" s="13" t="s">
        <v>1371</v>
      </c>
      <c r="J599" s="196" t="s">
        <v>1727</v>
      </c>
      <c r="K599" s="13" t="s">
        <v>1728</v>
      </c>
      <c r="L599" s="32">
        <v>16.350000000000001</v>
      </c>
      <c r="M599" s="32">
        <v>16.350000000000001</v>
      </c>
      <c r="N599" s="196">
        <v>2</v>
      </c>
      <c r="P599" s="13" t="s">
        <v>268</v>
      </c>
      <c r="Q599" s="13" t="s">
        <v>269</v>
      </c>
      <c r="R599" s="13" t="s">
        <v>573</v>
      </c>
      <c r="S599" s="19" t="s">
        <v>360</v>
      </c>
      <c r="T599" s="18">
        <v>0</v>
      </c>
      <c r="U599" s="18"/>
      <c r="V599" s="18"/>
      <c r="W599" s="18">
        <f t="shared" si="13"/>
        <v>0</v>
      </c>
      <c r="X599" s="18"/>
      <c r="Y599" s="18"/>
      <c r="Z599" s="275"/>
    </row>
    <row r="600" spans="3:26">
      <c r="C600" s="48" t="s">
        <v>1222</v>
      </c>
      <c r="D600" s="48" t="s">
        <v>1222</v>
      </c>
      <c r="E600" s="18" t="s">
        <v>1217</v>
      </c>
      <c r="F600" s="526" t="s">
        <v>1218</v>
      </c>
      <c r="G600" s="283"/>
      <c r="H600" s="527" t="s">
        <v>536</v>
      </c>
      <c r="I600" s="555" t="s">
        <v>192</v>
      </c>
      <c r="J600" s="34" t="s">
        <v>245</v>
      </c>
      <c r="L600" s="32">
        <v>5.85</v>
      </c>
      <c r="M600" s="32">
        <v>5.85</v>
      </c>
      <c r="N600" s="213"/>
      <c r="P600" s="13" t="s">
        <v>268</v>
      </c>
      <c r="Q600" s="13" t="s">
        <v>268</v>
      </c>
      <c r="R600" s="13" t="s">
        <v>573</v>
      </c>
      <c r="S600" s="19" t="s">
        <v>360</v>
      </c>
      <c r="T600" s="18">
        <v>0</v>
      </c>
      <c r="U600" s="18"/>
      <c r="V600" s="18"/>
      <c r="W600" s="18">
        <f t="shared" si="13"/>
        <v>0</v>
      </c>
      <c r="X600" s="18"/>
      <c r="Y600" s="18"/>
      <c r="Z600" s="275"/>
    </row>
    <row r="601" spans="3:26">
      <c r="C601" s="48" t="s">
        <v>1222</v>
      </c>
      <c r="D601" s="48" t="s">
        <v>1222</v>
      </c>
      <c r="E601" s="18" t="s">
        <v>1217</v>
      </c>
      <c r="F601" s="526" t="s">
        <v>1218</v>
      </c>
      <c r="G601" s="283" t="s">
        <v>1858</v>
      </c>
      <c r="H601" s="527" t="s">
        <v>536</v>
      </c>
      <c r="I601" s="13" t="s">
        <v>1371</v>
      </c>
      <c r="J601" s="196" t="s">
        <v>1729</v>
      </c>
      <c r="K601" s="13" t="s">
        <v>1730</v>
      </c>
      <c r="L601" s="32">
        <v>16.350000000000001</v>
      </c>
      <c r="M601" s="32">
        <v>16.350000000000001</v>
      </c>
      <c r="N601" s="196">
        <v>2</v>
      </c>
      <c r="P601" s="13" t="s">
        <v>572</v>
      </c>
      <c r="Q601" s="13" t="s">
        <v>572</v>
      </c>
      <c r="R601" s="13" t="s">
        <v>573</v>
      </c>
      <c r="S601" s="19" t="s">
        <v>100</v>
      </c>
      <c r="T601" s="18">
        <v>0</v>
      </c>
      <c r="U601" s="18"/>
      <c r="V601" s="18"/>
      <c r="W601" s="18">
        <f t="shared" si="13"/>
        <v>0</v>
      </c>
      <c r="X601" s="18"/>
      <c r="Y601" s="18"/>
      <c r="Z601" s="275"/>
    </row>
    <row r="602" spans="3:26">
      <c r="C602" s="48" t="s">
        <v>1222</v>
      </c>
      <c r="D602" s="48" t="s">
        <v>1222</v>
      </c>
      <c r="E602" s="18" t="s">
        <v>1217</v>
      </c>
      <c r="F602" s="526" t="s">
        <v>1218</v>
      </c>
      <c r="G602" s="283" t="s">
        <v>1858</v>
      </c>
      <c r="H602" s="527" t="s">
        <v>536</v>
      </c>
      <c r="I602" s="13" t="s">
        <v>1371</v>
      </c>
      <c r="J602" s="196" t="s">
        <v>1729</v>
      </c>
      <c r="K602" s="13" t="s">
        <v>1730</v>
      </c>
      <c r="L602" s="155">
        <v>16.350000000000001</v>
      </c>
      <c r="M602" s="155">
        <v>16.350000000000001</v>
      </c>
      <c r="N602" s="196">
        <v>2</v>
      </c>
      <c r="P602" s="13" t="s">
        <v>268</v>
      </c>
      <c r="Q602" s="13" t="s">
        <v>268</v>
      </c>
      <c r="R602" s="13" t="s">
        <v>573</v>
      </c>
      <c r="S602" s="19" t="s">
        <v>360</v>
      </c>
      <c r="T602" s="18">
        <v>0</v>
      </c>
      <c r="U602" s="18"/>
      <c r="V602" s="18"/>
      <c r="W602" s="18">
        <f t="shared" si="13"/>
        <v>0</v>
      </c>
      <c r="X602" s="18"/>
      <c r="Y602" s="18"/>
      <c r="Z602" s="275"/>
    </row>
    <row r="603" spans="3:26">
      <c r="C603" s="48" t="s">
        <v>1222</v>
      </c>
      <c r="D603" s="48" t="s">
        <v>1222</v>
      </c>
      <c r="E603" s="18" t="s">
        <v>1217</v>
      </c>
      <c r="F603" s="526" t="s">
        <v>1218</v>
      </c>
      <c r="G603" s="283"/>
      <c r="H603" s="527" t="s">
        <v>536</v>
      </c>
      <c r="I603" s="555" t="s">
        <v>192</v>
      </c>
      <c r="J603" s="34" t="s">
        <v>245</v>
      </c>
      <c r="L603" s="155">
        <v>5.26</v>
      </c>
      <c r="M603" s="155">
        <v>5.26</v>
      </c>
      <c r="N603" s="213"/>
      <c r="P603" s="13" t="s">
        <v>572</v>
      </c>
      <c r="Q603" s="13" t="s">
        <v>572</v>
      </c>
      <c r="R603" s="13" t="s">
        <v>573</v>
      </c>
      <c r="S603" s="19" t="s">
        <v>100</v>
      </c>
      <c r="T603" s="18">
        <v>0</v>
      </c>
      <c r="U603" s="18"/>
      <c r="V603" s="18"/>
      <c r="W603" s="18">
        <f t="shared" si="13"/>
        <v>0</v>
      </c>
      <c r="X603" s="18"/>
      <c r="Y603" s="18"/>
      <c r="Z603" s="275"/>
    </row>
    <row r="604" spans="3:26">
      <c r="C604" s="48" t="s">
        <v>1222</v>
      </c>
      <c r="D604" s="48" t="s">
        <v>1222</v>
      </c>
      <c r="E604" s="18" t="s">
        <v>1217</v>
      </c>
      <c r="F604" s="526" t="s">
        <v>1218</v>
      </c>
      <c r="G604" s="283" t="s">
        <v>1858</v>
      </c>
      <c r="H604" s="527" t="s">
        <v>536</v>
      </c>
      <c r="I604" s="13" t="s">
        <v>1371</v>
      </c>
      <c r="J604" s="196" t="s">
        <v>1731</v>
      </c>
      <c r="K604" s="13" t="s">
        <v>1732</v>
      </c>
      <c r="L604" s="155">
        <v>16.350000000000001</v>
      </c>
      <c r="M604" s="155">
        <v>16.350000000000001</v>
      </c>
      <c r="N604" s="196">
        <v>2</v>
      </c>
      <c r="P604" s="13" t="s">
        <v>268</v>
      </c>
      <c r="Q604" s="13" t="s">
        <v>457</v>
      </c>
      <c r="R604" s="13" t="s">
        <v>573</v>
      </c>
      <c r="S604" s="19" t="s">
        <v>360</v>
      </c>
      <c r="T604" s="18">
        <v>0</v>
      </c>
      <c r="U604" s="18"/>
      <c r="V604" s="18"/>
      <c r="W604" s="18">
        <f t="shared" si="13"/>
        <v>0</v>
      </c>
      <c r="X604" s="18"/>
      <c r="Y604" s="18"/>
      <c r="Z604" s="275"/>
    </row>
    <row r="605" spans="3:26">
      <c r="C605" s="48" t="s">
        <v>1222</v>
      </c>
      <c r="D605" s="48" t="s">
        <v>1222</v>
      </c>
      <c r="E605" s="18" t="s">
        <v>1217</v>
      </c>
      <c r="F605" s="526" t="s">
        <v>1218</v>
      </c>
      <c r="G605" s="283" t="s">
        <v>1858</v>
      </c>
      <c r="H605" s="527" t="s">
        <v>536</v>
      </c>
      <c r="I605" s="13" t="s">
        <v>1371</v>
      </c>
      <c r="J605" s="196" t="s">
        <v>1731</v>
      </c>
      <c r="K605" s="13" t="s">
        <v>1732</v>
      </c>
      <c r="L605" s="155">
        <v>16.350000000000001</v>
      </c>
      <c r="M605" s="155">
        <v>16.350000000000001</v>
      </c>
      <c r="N605" s="196">
        <v>2</v>
      </c>
      <c r="P605" s="13" t="s">
        <v>268</v>
      </c>
      <c r="Q605" s="13" t="s">
        <v>457</v>
      </c>
      <c r="R605" s="13" t="s">
        <v>573</v>
      </c>
      <c r="S605" s="19" t="s">
        <v>360</v>
      </c>
      <c r="T605" s="18">
        <v>0</v>
      </c>
      <c r="U605" s="18"/>
      <c r="V605" s="18"/>
      <c r="W605" s="18">
        <f t="shared" si="13"/>
        <v>0</v>
      </c>
      <c r="X605" s="18"/>
      <c r="Y605" s="18"/>
      <c r="Z605" s="275"/>
    </row>
    <row r="606" spans="3:26">
      <c r="C606" s="48" t="s">
        <v>1222</v>
      </c>
      <c r="D606" s="48" t="s">
        <v>1222</v>
      </c>
      <c r="E606" s="18" t="s">
        <v>1217</v>
      </c>
      <c r="F606" s="526" t="s">
        <v>1218</v>
      </c>
      <c r="G606" s="283"/>
      <c r="H606" s="527" t="s">
        <v>536</v>
      </c>
      <c r="I606" s="555" t="s">
        <v>192</v>
      </c>
      <c r="J606" s="34" t="s">
        <v>245</v>
      </c>
      <c r="L606" s="155">
        <v>5.26</v>
      </c>
      <c r="M606" s="155">
        <v>5.26</v>
      </c>
      <c r="N606" s="213"/>
      <c r="P606" s="13" t="s">
        <v>572</v>
      </c>
      <c r="Q606" s="13" t="s">
        <v>572</v>
      </c>
      <c r="R606" s="13" t="s">
        <v>573</v>
      </c>
      <c r="S606" s="19" t="s">
        <v>100</v>
      </c>
      <c r="T606" s="18">
        <v>0</v>
      </c>
      <c r="U606" s="18"/>
      <c r="V606" s="18"/>
      <c r="W606" s="18">
        <f t="shared" si="13"/>
        <v>0</v>
      </c>
      <c r="X606" s="18"/>
      <c r="Y606" s="18"/>
      <c r="Z606" s="275"/>
    </row>
    <row r="607" spans="3:26">
      <c r="C607" s="48" t="s">
        <v>1222</v>
      </c>
      <c r="D607" s="48" t="s">
        <v>1222</v>
      </c>
      <c r="E607" s="18" t="s">
        <v>1217</v>
      </c>
      <c r="F607" s="526" t="s">
        <v>1218</v>
      </c>
      <c r="G607" s="283" t="s">
        <v>1858</v>
      </c>
      <c r="H607" s="527" t="s">
        <v>536</v>
      </c>
      <c r="I607" s="13" t="s">
        <v>1371</v>
      </c>
      <c r="J607" s="196" t="s">
        <v>1733</v>
      </c>
      <c r="K607" s="13" t="s">
        <v>1734</v>
      </c>
      <c r="L607" s="155">
        <v>16.350000000000001</v>
      </c>
      <c r="M607" s="155">
        <v>16.350000000000001</v>
      </c>
      <c r="N607" s="196">
        <v>2</v>
      </c>
      <c r="P607" s="13" t="s">
        <v>268</v>
      </c>
      <c r="Q607" s="13" t="s">
        <v>457</v>
      </c>
      <c r="R607" s="13" t="s">
        <v>573</v>
      </c>
      <c r="S607" s="19" t="s">
        <v>360</v>
      </c>
      <c r="T607" s="18">
        <v>0</v>
      </c>
      <c r="U607" s="18"/>
      <c r="V607" s="18"/>
      <c r="W607" s="18">
        <f t="shared" si="13"/>
        <v>0</v>
      </c>
      <c r="X607" s="18"/>
      <c r="Y607" s="18"/>
      <c r="Z607" s="275"/>
    </row>
    <row r="608" spans="3:26">
      <c r="C608" s="48" t="s">
        <v>1222</v>
      </c>
      <c r="D608" s="48" t="s">
        <v>1222</v>
      </c>
      <c r="E608" s="18" t="s">
        <v>1217</v>
      </c>
      <c r="F608" s="526" t="s">
        <v>1218</v>
      </c>
      <c r="G608" s="283" t="s">
        <v>1858</v>
      </c>
      <c r="H608" s="527" t="s">
        <v>536</v>
      </c>
      <c r="I608" s="13" t="s">
        <v>1371</v>
      </c>
      <c r="J608" s="196" t="s">
        <v>1733</v>
      </c>
      <c r="K608" s="13" t="s">
        <v>1734</v>
      </c>
      <c r="L608" s="155">
        <v>16.350000000000001</v>
      </c>
      <c r="M608" s="155">
        <v>16.350000000000001</v>
      </c>
      <c r="N608" s="196">
        <v>2</v>
      </c>
      <c r="P608" s="13" t="s">
        <v>268</v>
      </c>
      <c r="Q608" s="13" t="s">
        <v>457</v>
      </c>
      <c r="R608" s="13" t="s">
        <v>573</v>
      </c>
      <c r="S608" s="19" t="s">
        <v>360</v>
      </c>
      <c r="T608" s="18">
        <v>0</v>
      </c>
      <c r="U608" s="18"/>
      <c r="V608" s="18"/>
      <c r="W608" s="18">
        <f t="shared" si="13"/>
        <v>0</v>
      </c>
      <c r="X608" s="18"/>
      <c r="Y608" s="18"/>
      <c r="Z608" s="275"/>
    </row>
    <row r="609" spans="3:26">
      <c r="C609" s="48" t="s">
        <v>1222</v>
      </c>
      <c r="D609" s="48" t="s">
        <v>1222</v>
      </c>
      <c r="E609" s="18" t="s">
        <v>1217</v>
      </c>
      <c r="F609" s="526" t="s">
        <v>1218</v>
      </c>
      <c r="G609" s="283"/>
      <c r="H609" s="527" t="s">
        <v>536</v>
      </c>
      <c r="I609" s="555" t="s">
        <v>192</v>
      </c>
      <c r="J609" s="34" t="s">
        <v>245</v>
      </c>
      <c r="L609" s="155">
        <v>5.26</v>
      </c>
      <c r="M609" s="155">
        <v>5.26</v>
      </c>
      <c r="N609" s="213"/>
      <c r="P609" s="13" t="s">
        <v>572</v>
      </c>
      <c r="Q609" s="13" t="s">
        <v>572</v>
      </c>
      <c r="R609" s="13" t="s">
        <v>573</v>
      </c>
      <c r="S609" s="19" t="s">
        <v>100</v>
      </c>
      <c r="T609" s="18">
        <v>0</v>
      </c>
      <c r="U609" s="18"/>
      <c r="V609" s="18"/>
      <c r="W609" s="18">
        <f t="shared" si="13"/>
        <v>0</v>
      </c>
      <c r="X609" s="18"/>
      <c r="Y609" s="18"/>
      <c r="Z609" s="275"/>
    </row>
    <row r="610" spans="3:26">
      <c r="C610" s="48" t="s">
        <v>1222</v>
      </c>
      <c r="D610" s="48" t="s">
        <v>1222</v>
      </c>
      <c r="E610" s="18" t="s">
        <v>1217</v>
      </c>
      <c r="F610" s="526" t="s">
        <v>1218</v>
      </c>
      <c r="G610" s="283" t="s">
        <v>1858</v>
      </c>
      <c r="H610" s="527" t="s">
        <v>536</v>
      </c>
      <c r="I610" s="13" t="s">
        <v>1371</v>
      </c>
      <c r="J610" s="196" t="s">
        <v>1735</v>
      </c>
      <c r="K610" s="13" t="s">
        <v>1736</v>
      </c>
      <c r="L610" s="155">
        <v>16.350000000000001</v>
      </c>
      <c r="M610" s="155">
        <v>16.350000000000001</v>
      </c>
      <c r="N610" s="196">
        <v>2</v>
      </c>
      <c r="P610" s="13" t="s">
        <v>268</v>
      </c>
      <c r="Q610" s="13" t="s">
        <v>457</v>
      </c>
      <c r="R610" s="13" t="s">
        <v>573</v>
      </c>
      <c r="S610" s="19" t="s">
        <v>360</v>
      </c>
      <c r="T610" s="18">
        <v>0</v>
      </c>
      <c r="U610" s="18"/>
      <c r="V610" s="18"/>
      <c r="W610" s="18">
        <f t="shared" si="13"/>
        <v>0</v>
      </c>
      <c r="X610" s="18"/>
      <c r="Y610" s="18"/>
      <c r="Z610" s="275"/>
    </row>
    <row r="611" spans="3:26">
      <c r="C611" s="48" t="s">
        <v>1222</v>
      </c>
      <c r="D611" s="48" t="s">
        <v>1222</v>
      </c>
      <c r="E611" s="18" t="s">
        <v>1217</v>
      </c>
      <c r="F611" s="526" t="s">
        <v>1218</v>
      </c>
      <c r="G611" s="283" t="s">
        <v>1858</v>
      </c>
      <c r="H611" s="527" t="s">
        <v>536</v>
      </c>
      <c r="I611" s="13" t="s">
        <v>1371</v>
      </c>
      <c r="J611" s="196" t="s">
        <v>1737</v>
      </c>
      <c r="K611" s="13" t="s">
        <v>1738</v>
      </c>
      <c r="L611" s="155">
        <v>16.350000000000001</v>
      </c>
      <c r="M611" s="155">
        <v>16.350000000000001</v>
      </c>
      <c r="N611" s="196">
        <v>2</v>
      </c>
      <c r="P611" s="13" t="s">
        <v>268</v>
      </c>
      <c r="Q611" s="13" t="s">
        <v>457</v>
      </c>
      <c r="R611" s="13" t="s">
        <v>573</v>
      </c>
      <c r="S611" s="19" t="s">
        <v>360</v>
      </c>
      <c r="T611" s="18">
        <v>0</v>
      </c>
      <c r="U611" s="18"/>
      <c r="V611" s="18"/>
      <c r="W611" s="18">
        <f t="shared" si="13"/>
        <v>0</v>
      </c>
      <c r="X611" s="18"/>
      <c r="Y611" s="18"/>
      <c r="Z611" s="275"/>
    </row>
    <row r="612" spans="3:26">
      <c r="C612" s="48" t="s">
        <v>1222</v>
      </c>
      <c r="D612" s="48" t="s">
        <v>1222</v>
      </c>
      <c r="E612" s="18" t="s">
        <v>1217</v>
      </c>
      <c r="F612" s="526" t="s">
        <v>1218</v>
      </c>
      <c r="G612" s="283"/>
      <c r="H612" s="527" t="s">
        <v>536</v>
      </c>
      <c r="I612" s="555" t="s">
        <v>192</v>
      </c>
      <c r="J612" s="34" t="s">
        <v>245</v>
      </c>
      <c r="L612" s="155">
        <v>5.26</v>
      </c>
      <c r="M612" s="155">
        <v>5.26</v>
      </c>
      <c r="N612" s="213"/>
      <c r="P612" s="13" t="s">
        <v>572</v>
      </c>
      <c r="Q612" s="13" t="s">
        <v>572</v>
      </c>
      <c r="R612" s="13" t="s">
        <v>573</v>
      </c>
      <c r="S612" s="19" t="s">
        <v>100</v>
      </c>
      <c r="T612" s="18">
        <v>0</v>
      </c>
      <c r="U612" s="18"/>
      <c r="V612" s="18"/>
      <c r="W612" s="18">
        <f t="shared" si="13"/>
        <v>0</v>
      </c>
      <c r="X612" s="18"/>
      <c r="Y612" s="18"/>
      <c r="Z612" s="275"/>
    </row>
    <row r="613" spans="3:26">
      <c r="C613" s="48" t="s">
        <v>1222</v>
      </c>
      <c r="D613" s="48" t="s">
        <v>1222</v>
      </c>
      <c r="E613" s="18" t="s">
        <v>1217</v>
      </c>
      <c r="F613" s="526" t="s">
        <v>1218</v>
      </c>
      <c r="G613" s="283" t="s">
        <v>1858</v>
      </c>
      <c r="H613" s="527" t="s">
        <v>536</v>
      </c>
      <c r="I613" s="13" t="s">
        <v>1371</v>
      </c>
      <c r="J613" s="196" t="s">
        <v>1739</v>
      </c>
      <c r="K613" s="13" t="s">
        <v>1740</v>
      </c>
      <c r="L613" s="155">
        <v>16.350000000000001</v>
      </c>
      <c r="M613" s="155">
        <v>16.350000000000001</v>
      </c>
      <c r="N613" s="196">
        <v>2</v>
      </c>
      <c r="P613" s="13" t="s">
        <v>268</v>
      </c>
      <c r="Q613" s="13" t="s">
        <v>457</v>
      </c>
      <c r="R613" s="13" t="s">
        <v>573</v>
      </c>
      <c r="S613" s="19" t="s">
        <v>360</v>
      </c>
      <c r="T613" s="18">
        <v>0</v>
      </c>
      <c r="U613" s="18"/>
      <c r="V613" s="18"/>
      <c r="W613" s="18">
        <f t="shared" si="13"/>
        <v>0</v>
      </c>
      <c r="X613" s="18"/>
      <c r="Y613" s="18"/>
      <c r="Z613" s="275"/>
    </row>
    <row r="614" spans="3:26">
      <c r="C614" s="48" t="s">
        <v>1222</v>
      </c>
      <c r="D614" s="48" t="s">
        <v>1222</v>
      </c>
      <c r="E614" s="18" t="s">
        <v>1217</v>
      </c>
      <c r="F614" s="526" t="s">
        <v>1218</v>
      </c>
      <c r="G614" s="283" t="s">
        <v>1858</v>
      </c>
      <c r="H614" s="527" t="s">
        <v>536</v>
      </c>
      <c r="I614" s="13" t="s">
        <v>1371</v>
      </c>
      <c r="J614" s="196" t="s">
        <v>1741</v>
      </c>
      <c r="K614" s="13" t="s">
        <v>1742</v>
      </c>
      <c r="L614" s="155">
        <v>11.85</v>
      </c>
      <c r="M614" s="155">
        <v>11.85</v>
      </c>
      <c r="N614" s="196">
        <v>2</v>
      </c>
      <c r="P614" s="13" t="s">
        <v>268</v>
      </c>
      <c r="Q614" s="13" t="s">
        <v>457</v>
      </c>
      <c r="R614" s="13" t="s">
        <v>573</v>
      </c>
      <c r="S614" s="19" t="s">
        <v>360</v>
      </c>
      <c r="T614" s="18">
        <v>0</v>
      </c>
      <c r="U614" s="18"/>
      <c r="V614" s="18"/>
      <c r="W614" s="18">
        <f t="shared" si="13"/>
        <v>0</v>
      </c>
      <c r="X614" s="18"/>
      <c r="Y614" s="18"/>
      <c r="Z614" s="275"/>
    </row>
    <row r="615" spans="3:26">
      <c r="C615" s="48" t="s">
        <v>1222</v>
      </c>
      <c r="D615" s="48" t="s">
        <v>1222</v>
      </c>
      <c r="E615" s="18" t="s">
        <v>1217</v>
      </c>
      <c r="F615" s="526" t="s">
        <v>1218</v>
      </c>
      <c r="G615" s="283"/>
      <c r="H615" s="527" t="s">
        <v>536</v>
      </c>
      <c r="I615" s="555" t="s">
        <v>192</v>
      </c>
      <c r="J615" s="34" t="s">
        <v>245</v>
      </c>
      <c r="L615" s="155">
        <v>6.97</v>
      </c>
      <c r="M615" s="155">
        <v>6.97</v>
      </c>
      <c r="N615" s="213"/>
      <c r="P615" s="13" t="s">
        <v>572</v>
      </c>
      <c r="Q615" s="13" t="s">
        <v>572</v>
      </c>
      <c r="R615" s="13" t="s">
        <v>573</v>
      </c>
      <c r="S615" s="19" t="s">
        <v>100</v>
      </c>
      <c r="T615" s="18">
        <v>0</v>
      </c>
      <c r="U615" s="18"/>
      <c r="V615" s="18"/>
      <c r="W615" s="18">
        <f t="shared" si="13"/>
        <v>0</v>
      </c>
      <c r="X615" s="18"/>
      <c r="Y615" s="18"/>
      <c r="Z615" s="275"/>
    </row>
    <row r="616" spans="3:26">
      <c r="C616" s="48" t="s">
        <v>1222</v>
      </c>
      <c r="D616" s="48" t="s">
        <v>1222</v>
      </c>
      <c r="E616" s="18" t="s">
        <v>1217</v>
      </c>
      <c r="F616" s="526" t="s">
        <v>1218</v>
      </c>
      <c r="G616" s="283" t="s">
        <v>1858</v>
      </c>
      <c r="H616" s="527" t="s">
        <v>536</v>
      </c>
      <c r="I616" s="13" t="s">
        <v>1371</v>
      </c>
      <c r="J616" s="196" t="s">
        <v>1743</v>
      </c>
      <c r="K616" s="13" t="s">
        <v>1744</v>
      </c>
      <c r="L616" s="155">
        <v>16.350000000000001</v>
      </c>
      <c r="M616" s="155">
        <v>16.350000000000001</v>
      </c>
      <c r="N616" s="196">
        <v>2</v>
      </c>
      <c r="P616" s="13" t="s">
        <v>268</v>
      </c>
      <c r="Q616" s="13" t="s">
        <v>457</v>
      </c>
      <c r="R616" s="13" t="s">
        <v>573</v>
      </c>
      <c r="S616" s="19" t="s">
        <v>360</v>
      </c>
      <c r="T616" s="18">
        <v>0</v>
      </c>
      <c r="U616" s="18"/>
      <c r="V616" s="18"/>
      <c r="W616" s="18">
        <f t="shared" si="13"/>
        <v>0</v>
      </c>
      <c r="X616" s="18"/>
      <c r="Y616" s="18"/>
      <c r="Z616" s="275"/>
    </row>
    <row r="617" spans="3:26">
      <c r="C617" s="48" t="s">
        <v>1222</v>
      </c>
      <c r="D617" s="48" t="s">
        <v>1222</v>
      </c>
      <c r="E617" s="18" t="s">
        <v>1217</v>
      </c>
      <c r="F617" s="526" t="s">
        <v>1218</v>
      </c>
      <c r="G617" s="283" t="s">
        <v>1858</v>
      </c>
      <c r="H617" s="527" t="s">
        <v>536</v>
      </c>
      <c r="I617" s="13" t="s">
        <v>1371</v>
      </c>
      <c r="J617" s="196" t="s">
        <v>1743</v>
      </c>
      <c r="K617" s="13" t="s">
        <v>1744</v>
      </c>
      <c r="L617" s="155">
        <v>16.350000000000001</v>
      </c>
      <c r="M617" s="155">
        <v>16.350000000000001</v>
      </c>
      <c r="N617" s="196">
        <v>2</v>
      </c>
      <c r="P617" s="13" t="s">
        <v>268</v>
      </c>
      <c r="Q617" s="13" t="s">
        <v>457</v>
      </c>
      <c r="R617" s="13" t="s">
        <v>573</v>
      </c>
      <c r="S617" s="19" t="s">
        <v>360</v>
      </c>
      <c r="T617" s="18">
        <v>0</v>
      </c>
      <c r="U617" s="18"/>
      <c r="V617" s="18"/>
      <c r="W617" s="18">
        <f t="shared" si="13"/>
        <v>0</v>
      </c>
      <c r="X617" s="18"/>
      <c r="Y617" s="18"/>
      <c r="Z617" s="275"/>
    </row>
    <row r="618" spans="3:26">
      <c r="C618" s="48" t="s">
        <v>1222</v>
      </c>
      <c r="D618" s="48" t="s">
        <v>1222</v>
      </c>
      <c r="E618" s="18" t="s">
        <v>1217</v>
      </c>
      <c r="F618" s="526" t="s">
        <v>1218</v>
      </c>
      <c r="G618" s="283"/>
      <c r="H618" s="527" t="s">
        <v>536</v>
      </c>
      <c r="I618" s="555" t="s">
        <v>192</v>
      </c>
      <c r="J618" s="34" t="s">
        <v>245</v>
      </c>
      <c r="L618" s="155">
        <v>5.26</v>
      </c>
      <c r="M618" s="155">
        <v>5.26</v>
      </c>
      <c r="N618" s="213"/>
      <c r="P618" s="13" t="s">
        <v>572</v>
      </c>
      <c r="Q618" s="13" t="s">
        <v>572</v>
      </c>
      <c r="R618" s="13" t="s">
        <v>573</v>
      </c>
      <c r="S618" s="19" t="s">
        <v>100</v>
      </c>
      <c r="T618" s="18">
        <v>0</v>
      </c>
      <c r="U618" s="18"/>
      <c r="V618" s="18"/>
      <c r="W618" s="18">
        <f t="shared" si="13"/>
        <v>0</v>
      </c>
      <c r="X618" s="18"/>
      <c r="Y618" s="18"/>
      <c r="Z618" s="275"/>
    </row>
    <row r="619" spans="3:26">
      <c r="C619" s="48" t="s">
        <v>1222</v>
      </c>
      <c r="D619" s="48" t="s">
        <v>1222</v>
      </c>
      <c r="E619" s="18" t="s">
        <v>1217</v>
      </c>
      <c r="F619" s="526" t="s">
        <v>1218</v>
      </c>
      <c r="G619" s="283" t="s">
        <v>1858</v>
      </c>
      <c r="H619" s="527" t="s">
        <v>536</v>
      </c>
      <c r="I619" s="13" t="s">
        <v>1371</v>
      </c>
      <c r="J619" s="196" t="s">
        <v>1745</v>
      </c>
      <c r="K619" s="13" t="s">
        <v>1746</v>
      </c>
      <c r="L619" s="155">
        <v>16.350000000000001</v>
      </c>
      <c r="M619" s="155">
        <v>16.350000000000001</v>
      </c>
      <c r="N619" s="196">
        <v>2</v>
      </c>
      <c r="P619" s="13" t="s">
        <v>268</v>
      </c>
      <c r="Q619" s="13" t="s">
        <v>457</v>
      </c>
      <c r="R619" s="13" t="s">
        <v>573</v>
      </c>
      <c r="S619" s="19" t="s">
        <v>360</v>
      </c>
      <c r="T619" s="18">
        <v>0</v>
      </c>
      <c r="U619" s="18"/>
      <c r="V619" s="18"/>
      <c r="W619" s="18">
        <f t="shared" si="13"/>
        <v>0</v>
      </c>
      <c r="X619" s="18"/>
      <c r="Y619" s="18"/>
      <c r="Z619" s="275"/>
    </row>
    <row r="620" spans="3:26">
      <c r="C620" s="48" t="s">
        <v>1222</v>
      </c>
      <c r="D620" s="48" t="s">
        <v>1222</v>
      </c>
      <c r="E620" s="18" t="s">
        <v>1217</v>
      </c>
      <c r="F620" s="526" t="s">
        <v>1218</v>
      </c>
      <c r="G620" s="283" t="s">
        <v>1858</v>
      </c>
      <c r="H620" s="527" t="s">
        <v>536</v>
      </c>
      <c r="I620" s="13" t="s">
        <v>1371</v>
      </c>
      <c r="J620" s="196" t="s">
        <v>1745</v>
      </c>
      <c r="K620" s="13" t="s">
        <v>1746</v>
      </c>
      <c r="L620" s="155">
        <v>16.350000000000001</v>
      </c>
      <c r="M620" s="155">
        <v>16.350000000000001</v>
      </c>
      <c r="N620" s="196">
        <v>2</v>
      </c>
      <c r="P620" s="13" t="s">
        <v>268</v>
      </c>
      <c r="Q620" s="13" t="s">
        <v>457</v>
      </c>
      <c r="R620" s="13" t="s">
        <v>573</v>
      </c>
      <c r="S620" s="19" t="s">
        <v>360</v>
      </c>
      <c r="T620" s="18">
        <v>0</v>
      </c>
      <c r="U620" s="18"/>
      <c r="V620" s="18"/>
      <c r="W620" s="18">
        <f t="shared" si="13"/>
        <v>0</v>
      </c>
      <c r="X620" s="18"/>
      <c r="Y620" s="18"/>
      <c r="Z620" s="275"/>
    </row>
    <row r="621" spans="3:26">
      <c r="C621" s="48" t="s">
        <v>1222</v>
      </c>
      <c r="D621" s="48" t="s">
        <v>1222</v>
      </c>
      <c r="E621" s="18" t="s">
        <v>1217</v>
      </c>
      <c r="F621" s="526" t="s">
        <v>1218</v>
      </c>
      <c r="G621" s="283"/>
      <c r="H621" s="527" t="s">
        <v>536</v>
      </c>
      <c r="I621" s="555" t="s">
        <v>192</v>
      </c>
      <c r="J621" s="34" t="s">
        <v>245</v>
      </c>
      <c r="L621" s="155">
        <v>5.26</v>
      </c>
      <c r="M621" s="155">
        <v>5.26</v>
      </c>
      <c r="N621" s="213"/>
      <c r="P621" s="13" t="s">
        <v>572</v>
      </c>
      <c r="Q621" s="13" t="s">
        <v>572</v>
      </c>
      <c r="R621" s="13" t="s">
        <v>573</v>
      </c>
      <c r="S621" s="19" t="s">
        <v>100</v>
      </c>
      <c r="T621" s="18">
        <v>0</v>
      </c>
      <c r="U621" s="18"/>
      <c r="V621" s="18"/>
      <c r="W621" s="18">
        <f t="shared" si="13"/>
        <v>0</v>
      </c>
      <c r="X621" s="18"/>
      <c r="Y621" s="18"/>
      <c r="Z621" s="275"/>
    </row>
    <row r="622" spans="3:26">
      <c r="C622" s="48" t="s">
        <v>1222</v>
      </c>
      <c r="D622" s="48" t="s">
        <v>1222</v>
      </c>
      <c r="E622" s="18" t="s">
        <v>1217</v>
      </c>
      <c r="F622" s="526" t="s">
        <v>1218</v>
      </c>
      <c r="G622" s="283" t="s">
        <v>1858</v>
      </c>
      <c r="H622" s="527" t="s">
        <v>536</v>
      </c>
      <c r="I622" s="13" t="s">
        <v>1371</v>
      </c>
      <c r="J622" s="196" t="s">
        <v>1747</v>
      </c>
      <c r="K622" s="13" t="s">
        <v>1748</v>
      </c>
      <c r="L622" s="155">
        <v>16.350000000000001</v>
      </c>
      <c r="M622" s="155">
        <v>16.350000000000001</v>
      </c>
      <c r="N622" s="196">
        <v>2</v>
      </c>
      <c r="P622" s="13" t="s">
        <v>268</v>
      </c>
      <c r="Q622" s="13" t="s">
        <v>457</v>
      </c>
      <c r="R622" s="13" t="s">
        <v>573</v>
      </c>
      <c r="S622" s="19" t="s">
        <v>360</v>
      </c>
      <c r="T622" s="18">
        <v>0</v>
      </c>
      <c r="U622" s="18"/>
      <c r="V622" s="18"/>
      <c r="W622" s="18">
        <f t="shared" si="13"/>
        <v>0</v>
      </c>
      <c r="X622" s="18"/>
      <c r="Y622" s="18"/>
      <c r="Z622" s="275"/>
    </row>
    <row r="623" spans="3:26">
      <c r="C623" s="48" t="s">
        <v>1222</v>
      </c>
      <c r="D623" s="48" t="s">
        <v>1222</v>
      </c>
      <c r="E623" s="18" t="s">
        <v>1217</v>
      </c>
      <c r="F623" s="526" t="s">
        <v>1218</v>
      </c>
      <c r="G623" s="283" t="s">
        <v>1858</v>
      </c>
      <c r="H623" s="527" t="s">
        <v>536</v>
      </c>
      <c r="I623" s="13" t="s">
        <v>1371</v>
      </c>
      <c r="J623" s="196" t="s">
        <v>1747</v>
      </c>
      <c r="K623" s="13" t="s">
        <v>1748</v>
      </c>
      <c r="L623" s="155">
        <v>16.350000000000001</v>
      </c>
      <c r="M623" s="155">
        <v>16.350000000000001</v>
      </c>
      <c r="N623" s="196">
        <v>2</v>
      </c>
      <c r="P623" s="13" t="s">
        <v>268</v>
      </c>
      <c r="Q623" s="13" t="s">
        <v>457</v>
      </c>
      <c r="R623" s="13" t="s">
        <v>573</v>
      </c>
      <c r="S623" s="19" t="s">
        <v>360</v>
      </c>
      <c r="T623" s="18">
        <v>0</v>
      </c>
      <c r="U623" s="18"/>
      <c r="V623" s="18"/>
      <c r="W623" s="18">
        <f t="shared" si="13"/>
        <v>0</v>
      </c>
      <c r="X623" s="18"/>
      <c r="Y623" s="18"/>
      <c r="Z623" s="275"/>
    </row>
    <row r="624" spans="3:26">
      <c r="C624" s="48" t="s">
        <v>1222</v>
      </c>
      <c r="D624" s="48" t="s">
        <v>1222</v>
      </c>
      <c r="E624" s="18" t="s">
        <v>1217</v>
      </c>
      <c r="F624" s="526" t="s">
        <v>1218</v>
      </c>
      <c r="G624" s="283"/>
      <c r="H624" s="527" t="s">
        <v>536</v>
      </c>
      <c r="I624" s="555" t="s">
        <v>192</v>
      </c>
      <c r="J624" s="34" t="s">
        <v>245</v>
      </c>
      <c r="L624" s="155">
        <v>5.26</v>
      </c>
      <c r="M624" s="155">
        <v>5.26</v>
      </c>
      <c r="N624" s="213"/>
      <c r="P624" s="13" t="s">
        <v>572</v>
      </c>
      <c r="Q624" s="13" t="s">
        <v>572</v>
      </c>
      <c r="R624" s="13" t="s">
        <v>573</v>
      </c>
      <c r="S624" s="19" t="s">
        <v>100</v>
      </c>
      <c r="T624" s="18">
        <v>0</v>
      </c>
      <c r="U624" s="18"/>
      <c r="V624" s="18"/>
      <c r="W624" s="18">
        <f t="shared" si="13"/>
        <v>0</v>
      </c>
      <c r="X624" s="18"/>
      <c r="Y624" s="18"/>
      <c r="Z624" s="275"/>
    </row>
    <row r="625" spans="3:26">
      <c r="C625" s="48" t="s">
        <v>1222</v>
      </c>
      <c r="D625" s="48" t="s">
        <v>1222</v>
      </c>
      <c r="E625" s="18" t="s">
        <v>1217</v>
      </c>
      <c r="F625" s="526" t="s">
        <v>1218</v>
      </c>
      <c r="G625" s="283" t="s">
        <v>1858</v>
      </c>
      <c r="H625" s="527" t="s">
        <v>536</v>
      </c>
      <c r="I625" s="13" t="s">
        <v>1371</v>
      </c>
      <c r="J625" s="556" t="s">
        <v>1749</v>
      </c>
      <c r="K625" s="13" t="s">
        <v>1750</v>
      </c>
      <c r="L625" s="155">
        <v>16.350000000000001</v>
      </c>
      <c r="M625" s="155">
        <v>16.350000000000001</v>
      </c>
      <c r="N625" s="196">
        <v>2</v>
      </c>
      <c r="P625" s="13" t="s">
        <v>268</v>
      </c>
      <c r="Q625" s="13" t="s">
        <v>457</v>
      </c>
      <c r="R625" s="13" t="s">
        <v>573</v>
      </c>
      <c r="S625" s="19" t="s">
        <v>360</v>
      </c>
      <c r="T625" s="18">
        <v>0</v>
      </c>
      <c r="U625" s="18"/>
      <c r="V625" s="18"/>
      <c r="W625" s="18">
        <f t="shared" si="13"/>
        <v>0</v>
      </c>
      <c r="X625" s="18"/>
      <c r="Y625" s="18"/>
      <c r="Z625" s="275"/>
    </row>
    <row r="626" spans="3:26">
      <c r="C626" s="48" t="s">
        <v>1222</v>
      </c>
      <c r="D626" s="48" t="s">
        <v>1222</v>
      </c>
      <c r="E626" s="18" t="s">
        <v>1217</v>
      </c>
      <c r="F626" s="526" t="s">
        <v>1218</v>
      </c>
      <c r="G626" s="283" t="s">
        <v>1858</v>
      </c>
      <c r="H626" s="527" t="s">
        <v>536</v>
      </c>
      <c r="I626" s="13" t="s">
        <v>1371</v>
      </c>
      <c r="J626" s="556" t="s">
        <v>1749</v>
      </c>
      <c r="K626" s="13" t="s">
        <v>1750</v>
      </c>
      <c r="L626" s="155">
        <v>16.350000000000001</v>
      </c>
      <c r="M626" s="155">
        <v>16.350000000000001</v>
      </c>
      <c r="N626" s="196">
        <v>2</v>
      </c>
      <c r="P626" s="13" t="s">
        <v>268</v>
      </c>
      <c r="Q626" s="13" t="s">
        <v>457</v>
      </c>
      <c r="R626" s="13" t="s">
        <v>573</v>
      </c>
      <c r="S626" s="19" t="s">
        <v>360</v>
      </c>
      <c r="T626" s="18">
        <v>0</v>
      </c>
      <c r="U626" s="18"/>
      <c r="V626" s="18"/>
      <c r="W626" s="18">
        <f t="shared" si="13"/>
        <v>0</v>
      </c>
      <c r="X626" s="18"/>
      <c r="Y626" s="18"/>
      <c r="Z626" s="275"/>
    </row>
    <row r="627" spans="3:26">
      <c r="C627" s="48" t="s">
        <v>1222</v>
      </c>
      <c r="D627" s="48" t="s">
        <v>1222</v>
      </c>
      <c r="E627" s="18" t="s">
        <v>1217</v>
      </c>
      <c r="F627" s="526" t="s">
        <v>1218</v>
      </c>
      <c r="G627" s="283"/>
      <c r="H627" s="527" t="s">
        <v>536</v>
      </c>
      <c r="I627" s="555" t="s">
        <v>192</v>
      </c>
      <c r="J627" s="34" t="s">
        <v>245</v>
      </c>
      <c r="L627" s="155">
        <v>5.26</v>
      </c>
      <c r="M627" s="155">
        <v>5.26</v>
      </c>
      <c r="N627" s="213"/>
      <c r="P627" s="13" t="s">
        <v>572</v>
      </c>
      <c r="Q627" s="13" t="s">
        <v>572</v>
      </c>
      <c r="R627" s="13" t="s">
        <v>573</v>
      </c>
      <c r="S627" s="19" t="s">
        <v>100</v>
      </c>
      <c r="T627" s="18">
        <v>0</v>
      </c>
      <c r="U627" s="18"/>
      <c r="V627" s="18"/>
      <c r="W627" s="18">
        <f t="shared" si="13"/>
        <v>0</v>
      </c>
      <c r="X627" s="18"/>
      <c r="Y627" s="18"/>
      <c r="Z627" s="275"/>
    </row>
    <row r="628" spans="3:26">
      <c r="C628" s="48" t="s">
        <v>1222</v>
      </c>
      <c r="D628" s="48" t="s">
        <v>1222</v>
      </c>
      <c r="E628" s="18" t="s">
        <v>1217</v>
      </c>
      <c r="F628" s="526" t="s">
        <v>1218</v>
      </c>
      <c r="G628" s="283" t="s">
        <v>1858</v>
      </c>
      <c r="H628" s="527" t="s">
        <v>536</v>
      </c>
      <c r="I628" s="13" t="s">
        <v>1371</v>
      </c>
      <c r="J628" s="196" t="s">
        <v>1751</v>
      </c>
      <c r="K628" s="13" t="s">
        <v>1752</v>
      </c>
      <c r="L628" s="155">
        <v>16.350000000000001</v>
      </c>
      <c r="M628" s="155">
        <v>16.350000000000001</v>
      </c>
      <c r="N628" s="196">
        <v>2</v>
      </c>
      <c r="P628" s="13" t="s">
        <v>268</v>
      </c>
      <c r="Q628" s="13" t="s">
        <v>457</v>
      </c>
      <c r="R628" s="13" t="s">
        <v>573</v>
      </c>
      <c r="S628" s="19" t="s">
        <v>360</v>
      </c>
      <c r="T628" s="18">
        <v>0</v>
      </c>
      <c r="U628" s="18"/>
      <c r="V628" s="18"/>
      <c r="W628" s="18">
        <f t="shared" si="13"/>
        <v>0</v>
      </c>
      <c r="X628" s="18"/>
      <c r="Y628" s="18"/>
      <c r="Z628" s="275"/>
    </row>
    <row r="629" spans="3:26">
      <c r="C629" s="48" t="s">
        <v>1222</v>
      </c>
      <c r="D629" s="48" t="s">
        <v>1222</v>
      </c>
      <c r="E629" s="18" t="s">
        <v>1217</v>
      </c>
      <c r="F629" s="526" t="s">
        <v>1218</v>
      </c>
      <c r="G629" s="283" t="s">
        <v>1858</v>
      </c>
      <c r="H629" s="527" t="s">
        <v>536</v>
      </c>
      <c r="I629" s="13" t="s">
        <v>1371</v>
      </c>
      <c r="J629" s="196" t="s">
        <v>1751</v>
      </c>
      <c r="K629" s="13" t="s">
        <v>1752</v>
      </c>
      <c r="L629" s="155">
        <v>16.350000000000001</v>
      </c>
      <c r="M629" s="155">
        <v>16.350000000000001</v>
      </c>
      <c r="N629" s="196">
        <v>2</v>
      </c>
      <c r="P629" s="13" t="s">
        <v>268</v>
      </c>
      <c r="Q629" s="13" t="s">
        <v>457</v>
      </c>
      <c r="R629" s="13" t="s">
        <v>573</v>
      </c>
      <c r="S629" s="19" t="s">
        <v>360</v>
      </c>
      <c r="T629" s="18">
        <v>0</v>
      </c>
      <c r="U629" s="18"/>
      <c r="V629" s="18"/>
      <c r="W629" s="18">
        <f t="shared" si="13"/>
        <v>0</v>
      </c>
      <c r="X629" s="18"/>
      <c r="Y629" s="18"/>
      <c r="Z629" s="275"/>
    </row>
    <row r="630" spans="3:26">
      <c r="C630" s="48" t="s">
        <v>1222</v>
      </c>
      <c r="D630" s="48" t="s">
        <v>1222</v>
      </c>
      <c r="E630" s="18" t="s">
        <v>1217</v>
      </c>
      <c r="F630" s="526" t="s">
        <v>1218</v>
      </c>
      <c r="G630" s="283"/>
      <c r="H630" s="527" t="s">
        <v>536</v>
      </c>
      <c r="I630" s="555" t="s">
        <v>192</v>
      </c>
      <c r="J630" s="34" t="s">
        <v>245</v>
      </c>
      <c r="L630" s="155">
        <v>5.26</v>
      </c>
      <c r="M630" s="155">
        <v>5.26</v>
      </c>
      <c r="N630" s="213"/>
      <c r="P630" s="13" t="s">
        <v>572</v>
      </c>
      <c r="Q630" s="13" t="s">
        <v>572</v>
      </c>
      <c r="R630" s="13" t="s">
        <v>573</v>
      </c>
      <c r="S630" s="19" t="s">
        <v>100</v>
      </c>
      <c r="T630" s="18">
        <v>0</v>
      </c>
      <c r="U630" s="18"/>
      <c r="V630" s="18"/>
      <c r="W630" s="18">
        <f t="shared" si="13"/>
        <v>0</v>
      </c>
      <c r="X630" s="18"/>
      <c r="Y630" s="18"/>
      <c r="Z630" s="275"/>
    </row>
    <row r="631" spans="3:26">
      <c r="C631" s="48" t="s">
        <v>1222</v>
      </c>
      <c r="D631" s="48" t="s">
        <v>1222</v>
      </c>
      <c r="E631" s="18" t="s">
        <v>1217</v>
      </c>
      <c r="F631" s="526" t="s">
        <v>1218</v>
      </c>
      <c r="G631" s="283" t="s">
        <v>1859</v>
      </c>
      <c r="H631" s="527" t="s">
        <v>536</v>
      </c>
      <c r="I631" s="13" t="s">
        <v>1371</v>
      </c>
      <c r="J631" s="196" t="s">
        <v>1753</v>
      </c>
      <c r="K631" s="13" t="s">
        <v>1754</v>
      </c>
      <c r="L631" s="155">
        <v>16.350000000000001</v>
      </c>
      <c r="M631" s="155">
        <v>16.350000000000001</v>
      </c>
      <c r="N631" s="196">
        <v>2</v>
      </c>
      <c r="P631" s="13" t="s">
        <v>268</v>
      </c>
      <c r="Q631" s="13" t="s">
        <v>457</v>
      </c>
      <c r="R631" s="13" t="s">
        <v>573</v>
      </c>
      <c r="S631" s="19" t="s">
        <v>360</v>
      </c>
      <c r="T631" s="18">
        <v>0</v>
      </c>
      <c r="U631" s="18"/>
      <c r="V631" s="18"/>
      <c r="W631" s="18">
        <f t="shared" si="13"/>
        <v>0</v>
      </c>
      <c r="X631" s="18"/>
      <c r="Y631" s="18"/>
      <c r="Z631" s="275"/>
    </row>
    <row r="632" spans="3:26">
      <c r="C632" s="48" t="s">
        <v>1222</v>
      </c>
      <c r="D632" s="48" t="s">
        <v>1222</v>
      </c>
      <c r="E632" s="18" t="s">
        <v>1217</v>
      </c>
      <c r="F632" s="526" t="s">
        <v>1218</v>
      </c>
      <c r="G632" s="283" t="s">
        <v>1859</v>
      </c>
      <c r="H632" s="527" t="s">
        <v>536</v>
      </c>
      <c r="I632" s="13" t="s">
        <v>1371</v>
      </c>
      <c r="J632" s="196" t="s">
        <v>1753</v>
      </c>
      <c r="K632" s="13" t="s">
        <v>1754</v>
      </c>
      <c r="L632" s="155">
        <v>16.350000000000001</v>
      </c>
      <c r="M632" s="155">
        <v>16.350000000000001</v>
      </c>
      <c r="N632" s="196">
        <v>2</v>
      </c>
      <c r="P632" s="13" t="s">
        <v>268</v>
      </c>
      <c r="Q632" s="13" t="s">
        <v>457</v>
      </c>
      <c r="R632" s="13" t="s">
        <v>573</v>
      </c>
      <c r="S632" s="19" t="s">
        <v>360</v>
      </c>
      <c r="T632" s="18">
        <v>0</v>
      </c>
      <c r="U632" s="18"/>
      <c r="V632" s="18"/>
      <c r="W632" s="18">
        <f t="shared" si="13"/>
        <v>0</v>
      </c>
      <c r="X632" s="18"/>
      <c r="Y632" s="18"/>
      <c r="Z632" s="275"/>
    </row>
    <row r="633" spans="3:26">
      <c r="C633" s="48" t="s">
        <v>1222</v>
      </c>
      <c r="D633" s="48" t="s">
        <v>1222</v>
      </c>
      <c r="E633" s="18" t="s">
        <v>1217</v>
      </c>
      <c r="F633" s="526" t="s">
        <v>1218</v>
      </c>
      <c r="G633" s="283"/>
      <c r="H633" s="527" t="s">
        <v>536</v>
      </c>
      <c r="I633" s="555" t="s">
        <v>192</v>
      </c>
      <c r="J633" s="34" t="s">
        <v>245</v>
      </c>
      <c r="L633" s="155">
        <v>5.26</v>
      </c>
      <c r="M633" s="155">
        <v>5.26</v>
      </c>
      <c r="N633" s="213"/>
      <c r="P633" s="13" t="s">
        <v>572</v>
      </c>
      <c r="Q633" s="13" t="s">
        <v>572</v>
      </c>
      <c r="R633" s="13" t="s">
        <v>573</v>
      </c>
      <c r="S633" s="19" t="s">
        <v>100</v>
      </c>
      <c r="T633" s="18">
        <v>0</v>
      </c>
      <c r="U633" s="18"/>
      <c r="V633" s="18"/>
      <c r="W633" s="18">
        <f t="shared" si="13"/>
        <v>0</v>
      </c>
      <c r="X633" s="18"/>
      <c r="Y633" s="18"/>
      <c r="Z633" s="275"/>
    </row>
    <row r="634" spans="3:26">
      <c r="C634" s="48" t="s">
        <v>1222</v>
      </c>
      <c r="D634" s="48" t="s">
        <v>1222</v>
      </c>
      <c r="E634" s="18" t="s">
        <v>1217</v>
      </c>
      <c r="F634" s="526" t="s">
        <v>1218</v>
      </c>
      <c r="G634" s="283" t="s">
        <v>1859</v>
      </c>
      <c r="H634" s="527" t="s">
        <v>536</v>
      </c>
      <c r="I634" s="13" t="s">
        <v>1371</v>
      </c>
      <c r="J634" s="196" t="s">
        <v>1747</v>
      </c>
      <c r="K634" s="13" t="s">
        <v>1755</v>
      </c>
      <c r="L634" s="155">
        <v>16.350000000000001</v>
      </c>
      <c r="M634" s="155">
        <v>16.350000000000001</v>
      </c>
      <c r="N634" s="196">
        <v>2</v>
      </c>
      <c r="P634" s="13" t="s">
        <v>268</v>
      </c>
      <c r="Q634" s="13" t="s">
        <v>457</v>
      </c>
      <c r="R634" s="13" t="s">
        <v>573</v>
      </c>
      <c r="S634" s="19" t="s">
        <v>360</v>
      </c>
      <c r="T634" s="18">
        <v>0</v>
      </c>
      <c r="U634" s="18"/>
      <c r="V634" s="18"/>
      <c r="W634" s="18">
        <f t="shared" si="13"/>
        <v>0</v>
      </c>
      <c r="X634" s="18"/>
      <c r="Y634" s="18"/>
      <c r="Z634" s="275"/>
    </row>
    <row r="635" spans="3:26">
      <c r="C635" s="48" t="s">
        <v>1222</v>
      </c>
      <c r="D635" s="48" t="s">
        <v>1222</v>
      </c>
      <c r="E635" s="18" t="s">
        <v>1217</v>
      </c>
      <c r="F635" s="526" t="s">
        <v>1218</v>
      </c>
      <c r="G635" s="283" t="s">
        <v>1859</v>
      </c>
      <c r="H635" s="527" t="s">
        <v>536</v>
      </c>
      <c r="I635" s="13" t="s">
        <v>1371</v>
      </c>
      <c r="J635" s="196" t="s">
        <v>1747</v>
      </c>
      <c r="K635" s="13" t="s">
        <v>1755</v>
      </c>
      <c r="L635" s="155">
        <v>16.350000000000001</v>
      </c>
      <c r="M635" s="155">
        <v>16.350000000000001</v>
      </c>
      <c r="N635" s="196">
        <v>2</v>
      </c>
      <c r="P635" s="13" t="s">
        <v>268</v>
      </c>
      <c r="Q635" s="13" t="s">
        <v>457</v>
      </c>
      <c r="R635" s="13" t="s">
        <v>573</v>
      </c>
      <c r="S635" s="19" t="s">
        <v>360</v>
      </c>
      <c r="T635" s="18">
        <v>0</v>
      </c>
      <c r="U635" s="18"/>
      <c r="V635" s="18"/>
      <c r="W635" s="18">
        <f t="shared" si="13"/>
        <v>0</v>
      </c>
      <c r="X635" s="18"/>
      <c r="Y635" s="18"/>
      <c r="Z635" s="275"/>
    </row>
    <row r="636" spans="3:26">
      <c r="C636" s="48" t="s">
        <v>1222</v>
      </c>
      <c r="D636" s="48" t="s">
        <v>1222</v>
      </c>
      <c r="E636" s="18" t="s">
        <v>1217</v>
      </c>
      <c r="F636" s="526" t="s">
        <v>1218</v>
      </c>
      <c r="G636" s="283"/>
      <c r="H636" s="527" t="s">
        <v>536</v>
      </c>
      <c r="I636" s="555" t="s">
        <v>192</v>
      </c>
      <c r="J636" s="34" t="s">
        <v>245</v>
      </c>
      <c r="L636" s="155">
        <v>5.26</v>
      </c>
      <c r="M636" s="155">
        <v>5.26</v>
      </c>
      <c r="N636" s="213"/>
      <c r="P636" s="13" t="s">
        <v>572</v>
      </c>
      <c r="Q636" s="13" t="s">
        <v>572</v>
      </c>
      <c r="R636" s="13" t="s">
        <v>573</v>
      </c>
      <c r="S636" s="19" t="s">
        <v>100</v>
      </c>
      <c r="T636" s="18">
        <v>0</v>
      </c>
      <c r="U636" s="18"/>
      <c r="V636" s="18"/>
      <c r="W636" s="18">
        <f t="shared" si="13"/>
        <v>0</v>
      </c>
      <c r="X636" s="18"/>
      <c r="Y636" s="18"/>
      <c r="Z636" s="275"/>
    </row>
    <row r="637" spans="3:26">
      <c r="C637" s="48" t="s">
        <v>1222</v>
      </c>
      <c r="D637" s="48" t="s">
        <v>1222</v>
      </c>
      <c r="E637" s="18" t="s">
        <v>1217</v>
      </c>
      <c r="F637" s="526" t="s">
        <v>1218</v>
      </c>
      <c r="G637" s="283" t="s">
        <v>1859</v>
      </c>
      <c r="H637" s="527" t="s">
        <v>536</v>
      </c>
      <c r="I637" s="13" t="s">
        <v>1371</v>
      </c>
      <c r="J637" s="196" t="s">
        <v>1756</v>
      </c>
      <c r="K637" s="13" t="s">
        <v>1757</v>
      </c>
      <c r="L637" s="155">
        <v>16.350000000000001</v>
      </c>
      <c r="M637" s="155">
        <v>16.350000000000001</v>
      </c>
      <c r="N637" s="196">
        <v>2</v>
      </c>
      <c r="P637" s="13" t="s">
        <v>268</v>
      </c>
      <c r="Q637" s="13" t="s">
        <v>457</v>
      </c>
      <c r="R637" s="13" t="s">
        <v>573</v>
      </c>
      <c r="S637" s="19" t="s">
        <v>360</v>
      </c>
      <c r="T637" s="18">
        <v>0</v>
      </c>
      <c r="U637" s="18"/>
      <c r="V637" s="18"/>
      <c r="W637" s="18">
        <f t="shared" si="13"/>
        <v>0</v>
      </c>
      <c r="X637" s="18"/>
      <c r="Y637" s="18"/>
      <c r="Z637" s="275"/>
    </row>
    <row r="638" spans="3:26">
      <c r="C638" s="48" t="s">
        <v>1222</v>
      </c>
      <c r="D638" s="48" t="s">
        <v>1222</v>
      </c>
      <c r="E638" s="18" t="s">
        <v>1217</v>
      </c>
      <c r="F638" s="526" t="s">
        <v>1218</v>
      </c>
      <c r="G638" s="283" t="s">
        <v>1859</v>
      </c>
      <c r="H638" s="527" t="s">
        <v>536</v>
      </c>
      <c r="I638" s="13" t="s">
        <v>1371</v>
      </c>
      <c r="J638" s="196" t="s">
        <v>1756</v>
      </c>
      <c r="K638" s="13" t="s">
        <v>1757</v>
      </c>
      <c r="L638" s="155">
        <v>16.350000000000001</v>
      </c>
      <c r="M638" s="155">
        <v>16.350000000000001</v>
      </c>
      <c r="N638" s="196">
        <v>2</v>
      </c>
      <c r="P638" s="13" t="s">
        <v>268</v>
      </c>
      <c r="Q638" s="13" t="s">
        <v>457</v>
      </c>
      <c r="R638" s="13" t="s">
        <v>573</v>
      </c>
      <c r="S638" s="19" t="s">
        <v>360</v>
      </c>
      <c r="T638" s="18">
        <v>0</v>
      </c>
      <c r="U638" s="18"/>
      <c r="V638" s="18"/>
      <c r="W638" s="18">
        <f t="shared" si="13"/>
        <v>0</v>
      </c>
      <c r="X638" s="18"/>
      <c r="Y638" s="18"/>
      <c r="Z638" s="275"/>
    </row>
    <row r="639" spans="3:26">
      <c r="C639" s="48" t="s">
        <v>1222</v>
      </c>
      <c r="D639" s="48" t="s">
        <v>1222</v>
      </c>
      <c r="E639" s="18" t="s">
        <v>1217</v>
      </c>
      <c r="F639" s="526" t="s">
        <v>1218</v>
      </c>
      <c r="G639" s="283" t="s">
        <v>1859</v>
      </c>
      <c r="H639" s="527" t="s">
        <v>538</v>
      </c>
      <c r="I639" s="13" t="s">
        <v>1371</v>
      </c>
      <c r="J639" s="196" t="s">
        <v>1758</v>
      </c>
      <c r="K639" s="13" t="s">
        <v>1759</v>
      </c>
      <c r="L639" s="155">
        <v>11.24</v>
      </c>
      <c r="M639" s="155">
        <v>11.24</v>
      </c>
      <c r="P639" s="13" t="s">
        <v>268</v>
      </c>
      <c r="Q639" s="13" t="s">
        <v>269</v>
      </c>
      <c r="R639" s="13" t="s">
        <v>573</v>
      </c>
      <c r="S639" s="18" t="s">
        <v>360</v>
      </c>
      <c r="T639" s="18">
        <v>0</v>
      </c>
      <c r="U639" s="18"/>
      <c r="V639" s="18"/>
      <c r="W639" s="18">
        <f t="shared" ref="W639:W699" si="14">AVERAGE(T639:V639)</f>
        <v>0</v>
      </c>
      <c r="X639" s="18"/>
      <c r="Y639" s="18"/>
      <c r="Z639" s="275"/>
    </row>
    <row r="640" spans="3:26" ht="15" customHeight="1">
      <c r="C640" s="48" t="s">
        <v>1222</v>
      </c>
      <c r="D640" s="48" t="s">
        <v>1222</v>
      </c>
      <c r="E640" s="18" t="s">
        <v>1217</v>
      </c>
      <c r="F640" s="526" t="s">
        <v>1218</v>
      </c>
      <c r="G640" s="283"/>
      <c r="H640" s="527" t="s">
        <v>538</v>
      </c>
      <c r="I640" s="557" t="s">
        <v>194</v>
      </c>
      <c r="J640" s="34" t="s">
        <v>525</v>
      </c>
      <c r="L640" s="155">
        <v>91.14</v>
      </c>
      <c r="M640" s="155">
        <v>91.14</v>
      </c>
      <c r="P640" s="13" t="s">
        <v>268</v>
      </c>
      <c r="Q640" s="13" t="s">
        <v>269</v>
      </c>
      <c r="R640" s="13" t="s">
        <v>573</v>
      </c>
      <c r="S640" s="18" t="s">
        <v>360</v>
      </c>
      <c r="T640" s="18">
        <v>0</v>
      </c>
      <c r="U640" s="18"/>
      <c r="V640" s="18"/>
      <c r="W640" s="18">
        <f t="shared" si="14"/>
        <v>0</v>
      </c>
      <c r="X640" s="18"/>
      <c r="Y640" s="18"/>
      <c r="Z640" s="275"/>
    </row>
    <row r="641" spans="3:26">
      <c r="C641" s="48" t="s">
        <v>1222</v>
      </c>
      <c r="D641" s="48" t="s">
        <v>1222</v>
      </c>
      <c r="E641" s="18" t="s">
        <v>1217</v>
      </c>
      <c r="F641" s="526" t="s">
        <v>1218</v>
      </c>
      <c r="G641" s="283"/>
      <c r="H641" s="527" t="s">
        <v>538</v>
      </c>
      <c r="I641" s="557" t="s">
        <v>194</v>
      </c>
      <c r="J641" s="34" t="s">
        <v>526</v>
      </c>
      <c r="L641" s="155">
        <v>45.95</v>
      </c>
      <c r="M641" s="155">
        <v>45.95</v>
      </c>
      <c r="P641" s="13" t="s">
        <v>268</v>
      </c>
      <c r="Q641" s="13" t="s">
        <v>269</v>
      </c>
      <c r="R641" s="13" t="s">
        <v>573</v>
      </c>
      <c r="S641" s="18" t="s">
        <v>360</v>
      </c>
      <c r="T641" s="18">
        <v>0</v>
      </c>
      <c r="U641" s="18"/>
      <c r="V641" s="18"/>
      <c r="W641" s="18">
        <f t="shared" si="14"/>
        <v>0</v>
      </c>
      <c r="X641" s="18"/>
      <c r="Y641" s="18"/>
      <c r="Z641" s="275"/>
    </row>
    <row r="642" spans="3:26">
      <c r="C642" s="48" t="s">
        <v>1222</v>
      </c>
      <c r="D642" s="48" t="s">
        <v>1222</v>
      </c>
      <c r="E642" s="18" t="s">
        <v>1217</v>
      </c>
      <c r="F642" s="526" t="s">
        <v>1218</v>
      </c>
      <c r="G642" s="283"/>
      <c r="H642" s="527" t="s">
        <v>538</v>
      </c>
      <c r="I642" s="557" t="s">
        <v>194</v>
      </c>
      <c r="J642" s="34" t="s">
        <v>527</v>
      </c>
      <c r="L642" s="155">
        <v>45.95</v>
      </c>
      <c r="M642" s="155">
        <v>45.95</v>
      </c>
      <c r="P642" s="13" t="s">
        <v>268</v>
      </c>
      <c r="Q642" s="13" t="s">
        <v>269</v>
      </c>
      <c r="R642" s="13" t="s">
        <v>573</v>
      </c>
      <c r="S642" s="18" t="s">
        <v>360</v>
      </c>
      <c r="T642" s="18">
        <v>0</v>
      </c>
      <c r="U642" s="18"/>
      <c r="V642" s="18"/>
      <c r="W642" s="18">
        <f t="shared" si="14"/>
        <v>0</v>
      </c>
      <c r="X642" s="18"/>
      <c r="Y642" s="18"/>
      <c r="Z642" s="275"/>
    </row>
    <row r="643" spans="3:26">
      <c r="C643" s="48" t="s">
        <v>1222</v>
      </c>
      <c r="D643" s="48" t="s">
        <v>1222</v>
      </c>
      <c r="E643" s="18" t="s">
        <v>1217</v>
      </c>
      <c r="F643" s="526" t="s">
        <v>1218</v>
      </c>
      <c r="G643" s="283"/>
      <c r="H643" s="527" t="s">
        <v>538</v>
      </c>
      <c r="I643" s="13" t="s">
        <v>1371</v>
      </c>
      <c r="J643" s="34" t="s">
        <v>535</v>
      </c>
      <c r="L643" s="155">
        <v>17.420000000000002</v>
      </c>
      <c r="M643" s="155">
        <v>17.420000000000002</v>
      </c>
      <c r="P643" s="13" t="s">
        <v>268</v>
      </c>
      <c r="Q643" s="13" t="s">
        <v>457</v>
      </c>
      <c r="R643" s="13" t="s">
        <v>573</v>
      </c>
      <c r="S643" s="18" t="s">
        <v>360</v>
      </c>
      <c r="T643" s="18">
        <v>0</v>
      </c>
      <c r="U643" s="18"/>
      <c r="V643" s="18"/>
      <c r="W643" s="18">
        <f t="shared" si="14"/>
        <v>0</v>
      </c>
      <c r="X643" s="18"/>
      <c r="Y643" s="18"/>
      <c r="Z643" s="275"/>
    </row>
    <row r="644" spans="3:26">
      <c r="C644" s="48" t="s">
        <v>1222</v>
      </c>
      <c r="D644" s="48" t="s">
        <v>1222</v>
      </c>
      <c r="E644" s="18" t="s">
        <v>1217</v>
      </c>
      <c r="F644" s="526" t="s">
        <v>1218</v>
      </c>
      <c r="G644" s="283"/>
      <c r="H644" s="527" t="s">
        <v>538</v>
      </c>
      <c r="I644" s="555" t="s">
        <v>27</v>
      </c>
      <c r="J644" s="34" t="s">
        <v>1398</v>
      </c>
      <c r="L644" s="155">
        <v>4.22</v>
      </c>
      <c r="M644" s="155">
        <v>4.22</v>
      </c>
      <c r="P644" s="13" t="s">
        <v>572</v>
      </c>
      <c r="Q644" s="13" t="s">
        <v>457</v>
      </c>
      <c r="R644" s="13" t="s">
        <v>573</v>
      </c>
      <c r="S644" s="18" t="s">
        <v>360</v>
      </c>
      <c r="T644" s="18">
        <v>0</v>
      </c>
      <c r="U644" s="18"/>
      <c r="V644" s="18"/>
      <c r="W644" s="18">
        <f t="shared" si="14"/>
        <v>0</v>
      </c>
      <c r="X644" s="18"/>
      <c r="Y644" s="18"/>
      <c r="Z644" s="275"/>
    </row>
    <row r="645" spans="3:26">
      <c r="C645" s="48" t="s">
        <v>1222</v>
      </c>
      <c r="D645" s="48" t="s">
        <v>1222</v>
      </c>
      <c r="E645" s="18" t="s">
        <v>1217</v>
      </c>
      <c r="F645" s="526" t="s">
        <v>1218</v>
      </c>
      <c r="G645" s="283"/>
      <c r="H645" s="527" t="s">
        <v>538</v>
      </c>
      <c r="I645" s="555" t="s">
        <v>192</v>
      </c>
      <c r="J645" s="34" t="s">
        <v>369</v>
      </c>
      <c r="L645" s="155">
        <v>2.4900000000000002</v>
      </c>
      <c r="M645" s="155">
        <v>2.4900000000000002</v>
      </c>
      <c r="P645" s="13" t="s">
        <v>572</v>
      </c>
      <c r="Q645" s="13" t="s">
        <v>572</v>
      </c>
      <c r="R645" s="13" t="s">
        <v>573</v>
      </c>
      <c r="S645" s="18" t="s">
        <v>100</v>
      </c>
      <c r="T645" s="18">
        <v>0</v>
      </c>
      <c r="U645" s="18"/>
      <c r="V645" s="18"/>
      <c r="W645" s="18">
        <f t="shared" si="14"/>
        <v>0</v>
      </c>
      <c r="X645" s="18"/>
      <c r="Y645" s="18"/>
      <c r="Z645" s="275"/>
    </row>
    <row r="646" spans="3:26">
      <c r="C646" s="48" t="s">
        <v>1222</v>
      </c>
      <c r="D646" s="48" t="s">
        <v>1222</v>
      </c>
      <c r="E646" s="18" t="s">
        <v>1217</v>
      </c>
      <c r="F646" s="526" t="s">
        <v>1218</v>
      </c>
      <c r="G646" s="283" t="s">
        <v>1858</v>
      </c>
      <c r="H646" s="527" t="s">
        <v>538</v>
      </c>
      <c r="I646" s="13" t="s">
        <v>1371</v>
      </c>
      <c r="J646" s="196" t="s">
        <v>1760</v>
      </c>
      <c r="K646" s="13" t="s">
        <v>1761</v>
      </c>
      <c r="L646" s="155">
        <v>16.350000000000001</v>
      </c>
      <c r="M646" s="155">
        <v>16.350000000000001</v>
      </c>
      <c r="N646" s="196">
        <v>2</v>
      </c>
      <c r="P646" s="13" t="s">
        <v>268</v>
      </c>
      <c r="Q646" s="13" t="s">
        <v>268</v>
      </c>
      <c r="R646" s="13" t="s">
        <v>573</v>
      </c>
      <c r="S646" s="19" t="s">
        <v>360</v>
      </c>
      <c r="T646" s="18">
        <v>0</v>
      </c>
      <c r="U646" s="18"/>
      <c r="V646" s="18"/>
      <c r="W646" s="18">
        <f t="shared" si="14"/>
        <v>0</v>
      </c>
      <c r="X646" s="18"/>
      <c r="Y646" s="18"/>
      <c r="Z646" s="275"/>
    </row>
    <row r="647" spans="3:26">
      <c r="C647" s="48" t="s">
        <v>1222</v>
      </c>
      <c r="D647" s="48" t="s">
        <v>1222</v>
      </c>
      <c r="E647" s="18" t="s">
        <v>1217</v>
      </c>
      <c r="F647" s="526" t="s">
        <v>1218</v>
      </c>
      <c r="G647" s="283" t="s">
        <v>1858</v>
      </c>
      <c r="H647" s="527" t="s">
        <v>538</v>
      </c>
      <c r="I647" s="13" t="s">
        <v>1371</v>
      </c>
      <c r="J647" s="196" t="s">
        <v>1760</v>
      </c>
      <c r="K647" s="13" t="s">
        <v>1761</v>
      </c>
      <c r="L647" s="155">
        <v>16.350000000000001</v>
      </c>
      <c r="M647" s="155">
        <v>16.350000000000001</v>
      </c>
      <c r="N647" s="196">
        <v>2</v>
      </c>
      <c r="P647" s="13" t="s">
        <v>268</v>
      </c>
      <c r="Q647" s="13" t="s">
        <v>268</v>
      </c>
      <c r="R647" s="13" t="s">
        <v>573</v>
      </c>
      <c r="S647" s="19" t="s">
        <v>360</v>
      </c>
      <c r="T647" s="18">
        <v>0</v>
      </c>
      <c r="U647" s="18"/>
      <c r="V647" s="18"/>
      <c r="W647" s="18">
        <f t="shared" si="14"/>
        <v>0</v>
      </c>
      <c r="X647" s="18"/>
      <c r="Y647" s="18"/>
      <c r="Z647" s="275"/>
    </row>
    <row r="648" spans="3:26">
      <c r="C648" s="48" t="s">
        <v>1222</v>
      </c>
      <c r="D648" s="48" t="s">
        <v>1222</v>
      </c>
      <c r="E648" s="18" t="s">
        <v>1217</v>
      </c>
      <c r="F648" s="526" t="s">
        <v>1218</v>
      </c>
      <c r="G648" s="283"/>
      <c r="H648" s="527" t="s">
        <v>538</v>
      </c>
      <c r="I648" s="555" t="s">
        <v>192</v>
      </c>
      <c r="J648" s="34" t="s">
        <v>245</v>
      </c>
      <c r="L648" s="155">
        <v>5.26</v>
      </c>
      <c r="M648" s="155">
        <v>5.26</v>
      </c>
      <c r="N648" s="213"/>
      <c r="P648" s="13" t="s">
        <v>572</v>
      </c>
      <c r="Q648" s="13" t="s">
        <v>572</v>
      </c>
      <c r="R648" s="13" t="s">
        <v>573</v>
      </c>
      <c r="S648" s="19" t="s">
        <v>100</v>
      </c>
      <c r="T648" s="18">
        <v>0</v>
      </c>
      <c r="U648" s="18"/>
      <c r="V648" s="18"/>
      <c r="W648" s="18">
        <f t="shared" si="14"/>
        <v>0</v>
      </c>
      <c r="X648" s="18"/>
      <c r="Y648" s="18"/>
      <c r="Z648" s="275"/>
    </row>
    <row r="649" spans="3:26">
      <c r="C649" s="48" t="s">
        <v>1222</v>
      </c>
      <c r="D649" s="48" t="s">
        <v>1222</v>
      </c>
      <c r="E649" s="18" t="s">
        <v>1217</v>
      </c>
      <c r="F649" s="526" t="s">
        <v>1218</v>
      </c>
      <c r="G649" s="283" t="s">
        <v>1879</v>
      </c>
      <c r="H649" s="527" t="s">
        <v>538</v>
      </c>
      <c r="I649" s="13" t="s">
        <v>1371</v>
      </c>
      <c r="J649" s="196" t="s">
        <v>1762</v>
      </c>
      <c r="K649" s="13" t="s">
        <v>1763</v>
      </c>
      <c r="L649" s="155">
        <v>16.350000000000001</v>
      </c>
      <c r="M649" s="155">
        <v>16.350000000000001</v>
      </c>
      <c r="N649" s="196">
        <v>2</v>
      </c>
      <c r="P649" s="13" t="s">
        <v>268</v>
      </c>
      <c r="Q649" s="13" t="s">
        <v>457</v>
      </c>
      <c r="R649" s="13" t="s">
        <v>573</v>
      </c>
      <c r="S649" s="19" t="s">
        <v>360</v>
      </c>
      <c r="T649" s="18">
        <v>0</v>
      </c>
      <c r="U649" s="18"/>
      <c r="V649" s="18"/>
      <c r="W649" s="18">
        <f t="shared" si="14"/>
        <v>0</v>
      </c>
      <c r="X649" s="18"/>
      <c r="Y649" s="18"/>
      <c r="Z649" s="275"/>
    </row>
    <row r="650" spans="3:26">
      <c r="C650" s="48" t="s">
        <v>1222</v>
      </c>
      <c r="D650" s="48" t="s">
        <v>1222</v>
      </c>
      <c r="E650" s="18" t="s">
        <v>1217</v>
      </c>
      <c r="F650" s="526" t="s">
        <v>1218</v>
      </c>
      <c r="G650" s="283" t="s">
        <v>1879</v>
      </c>
      <c r="H650" s="527" t="s">
        <v>538</v>
      </c>
      <c r="I650" s="13" t="s">
        <v>1371</v>
      </c>
      <c r="J650" s="196" t="s">
        <v>1762</v>
      </c>
      <c r="K650" s="13" t="s">
        <v>1763</v>
      </c>
      <c r="L650" s="155">
        <v>16.350000000000001</v>
      </c>
      <c r="M650" s="155">
        <v>16.350000000000001</v>
      </c>
      <c r="N650" s="196">
        <v>2</v>
      </c>
      <c r="P650" s="13" t="s">
        <v>268</v>
      </c>
      <c r="Q650" s="13" t="s">
        <v>457</v>
      </c>
      <c r="R650" s="13" t="s">
        <v>573</v>
      </c>
      <c r="S650" s="19" t="s">
        <v>360</v>
      </c>
      <c r="T650" s="18">
        <v>0</v>
      </c>
      <c r="U650" s="18"/>
      <c r="V650" s="18"/>
      <c r="W650" s="18">
        <f t="shared" si="14"/>
        <v>0</v>
      </c>
      <c r="X650" s="18"/>
      <c r="Y650" s="18"/>
      <c r="Z650" s="275"/>
    </row>
    <row r="651" spans="3:26">
      <c r="C651" s="48" t="s">
        <v>1222</v>
      </c>
      <c r="D651" s="48" t="s">
        <v>1222</v>
      </c>
      <c r="E651" s="18" t="s">
        <v>1217</v>
      </c>
      <c r="F651" s="526" t="s">
        <v>1218</v>
      </c>
      <c r="G651" s="283"/>
      <c r="H651" s="527" t="s">
        <v>538</v>
      </c>
      <c r="I651" s="555" t="s">
        <v>192</v>
      </c>
      <c r="J651" s="34" t="s">
        <v>245</v>
      </c>
      <c r="L651" s="155">
        <v>5.26</v>
      </c>
      <c r="M651" s="155">
        <v>5.26</v>
      </c>
      <c r="N651" s="213"/>
      <c r="P651" s="13" t="s">
        <v>572</v>
      </c>
      <c r="Q651" s="13" t="s">
        <v>572</v>
      </c>
      <c r="R651" s="13" t="s">
        <v>573</v>
      </c>
      <c r="S651" s="19" t="s">
        <v>100</v>
      </c>
      <c r="T651" s="18">
        <v>0</v>
      </c>
      <c r="U651" s="18"/>
      <c r="V651" s="18"/>
      <c r="W651" s="18">
        <f t="shared" si="14"/>
        <v>0</v>
      </c>
      <c r="X651" s="18"/>
      <c r="Y651" s="18"/>
      <c r="Z651" s="275"/>
    </row>
    <row r="652" spans="3:26">
      <c r="C652" s="48" t="s">
        <v>1222</v>
      </c>
      <c r="D652" s="48" t="s">
        <v>1222</v>
      </c>
      <c r="E652" s="18" t="s">
        <v>1217</v>
      </c>
      <c r="F652" s="526" t="s">
        <v>1218</v>
      </c>
      <c r="G652" s="283" t="s">
        <v>1859</v>
      </c>
      <c r="H652" s="527" t="s">
        <v>538</v>
      </c>
      <c r="I652" s="13" t="s">
        <v>1371</v>
      </c>
      <c r="J652" s="196" t="s">
        <v>1764</v>
      </c>
      <c r="K652" s="13" t="s">
        <v>1765</v>
      </c>
      <c r="L652" s="155">
        <v>16.350000000000001</v>
      </c>
      <c r="M652" s="155">
        <v>16.350000000000001</v>
      </c>
      <c r="N652" s="196">
        <v>2</v>
      </c>
      <c r="P652" s="13" t="s">
        <v>268</v>
      </c>
      <c r="Q652" s="13" t="s">
        <v>457</v>
      </c>
      <c r="R652" s="13" t="s">
        <v>573</v>
      </c>
      <c r="S652" s="19" t="s">
        <v>360</v>
      </c>
      <c r="T652" s="18">
        <v>0</v>
      </c>
      <c r="U652" s="18"/>
      <c r="V652" s="18"/>
      <c r="W652" s="18">
        <f t="shared" si="14"/>
        <v>0</v>
      </c>
      <c r="X652" s="18"/>
      <c r="Y652" s="18"/>
      <c r="Z652" s="275"/>
    </row>
    <row r="653" spans="3:26">
      <c r="C653" s="48" t="s">
        <v>1222</v>
      </c>
      <c r="D653" s="48" t="s">
        <v>1222</v>
      </c>
      <c r="E653" s="18" t="s">
        <v>1217</v>
      </c>
      <c r="F653" s="526" t="s">
        <v>1218</v>
      </c>
      <c r="G653" s="283" t="s">
        <v>1859</v>
      </c>
      <c r="H653" s="527" t="s">
        <v>538</v>
      </c>
      <c r="I653" s="13" t="s">
        <v>1371</v>
      </c>
      <c r="J653" s="196" t="s">
        <v>1764</v>
      </c>
      <c r="K653" s="13" t="s">
        <v>1765</v>
      </c>
      <c r="L653" s="155">
        <v>16.350000000000001</v>
      </c>
      <c r="M653" s="155">
        <v>16.350000000000001</v>
      </c>
      <c r="N653" s="196">
        <v>2</v>
      </c>
      <c r="P653" s="13" t="s">
        <v>268</v>
      </c>
      <c r="Q653" s="13" t="s">
        <v>457</v>
      </c>
      <c r="R653" s="13" t="s">
        <v>573</v>
      </c>
      <c r="S653" s="19" t="s">
        <v>360</v>
      </c>
      <c r="T653" s="18">
        <v>0</v>
      </c>
      <c r="U653" s="18"/>
      <c r="V653" s="18"/>
      <c r="W653" s="18">
        <f t="shared" si="14"/>
        <v>0</v>
      </c>
      <c r="X653" s="18"/>
      <c r="Y653" s="18"/>
      <c r="Z653" s="275"/>
    </row>
    <row r="654" spans="3:26">
      <c r="C654" s="48" t="s">
        <v>1222</v>
      </c>
      <c r="D654" s="48" t="s">
        <v>1222</v>
      </c>
      <c r="E654" s="18" t="s">
        <v>1217</v>
      </c>
      <c r="F654" s="526" t="s">
        <v>1218</v>
      </c>
      <c r="G654" s="283"/>
      <c r="H654" s="527" t="s">
        <v>538</v>
      </c>
      <c r="I654" s="555" t="s">
        <v>192</v>
      </c>
      <c r="J654" s="34" t="s">
        <v>245</v>
      </c>
      <c r="L654" s="155">
        <v>5.26</v>
      </c>
      <c r="M654" s="155">
        <v>5.26</v>
      </c>
      <c r="N654" s="213"/>
      <c r="P654" s="13" t="s">
        <v>572</v>
      </c>
      <c r="Q654" s="13" t="s">
        <v>572</v>
      </c>
      <c r="R654" s="13" t="s">
        <v>573</v>
      </c>
      <c r="S654" s="19" t="s">
        <v>100</v>
      </c>
      <c r="T654" s="18">
        <v>0</v>
      </c>
      <c r="U654" s="18"/>
      <c r="V654" s="18"/>
      <c r="W654" s="18">
        <f t="shared" si="14"/>
        <v>0</v>
      </c>
      <c r="X654" s="18"/>
      <c r="Y654" s="18"/>
      <c r="Z654" s="275"/>
    </row>
    <row r="655" spans="3:26">
      <c r="C655" s="48" t="s">
        <v>1222</v>
      </c>
      <c r="D655" s="48" t="s">
        <v>1222</v>
      </c>
      <c r="E655" s="18" t="s">
        <v>1217</v>
      </c>
      <c r="F655" s="526" t="s">
        <v>1218</v>
      </c>
      <c r="G655" s="283"/>
      <c r="H655" s="527" t="s">
        <v>538</v>
      </c>
      <c r="I655" s="13" t="s">
        <v>1371</v>
      </c>
      <c r="J655" s="196" t="s">
        <v>1766</v>
      </c>
      <c r="K655" s="13" t="s">
        <v>1767</v>
      </c>
      <c r="L655" s="155">
        <v>16.350000000000001</v>
      </c>
      <c r="M655" s="155">
        <v>16.350000000000001</v>
      </c>
      <c r="N655" s="196">
        <v>2</v>
      </c>
      <c r="P655" s="13" t="s">
        <v>268</v>
      </c>
      <c r="Q655" s="13" t="s">
        <v>457</v>
      </c>
      <c r="R655" s="13" t="s">
        <v>573</v>
      </c>
      <c r="S655" s="19" t="s">
        <v>360</v>
      </c>
      <c r="T655" s="18">
        <v>0</v>
      </c>
      <c r="U655" s="18"/>
      <c r="V655" s="18"/>
      <c r="W655" s="18">
        <f t="shared" si="14"/>
        <v>0</v>
      </c>
      <c r="X655" s="18"/>
      <c r="Y655" s="18"/>
      <c r="Z655" s="275"/>
    </row>
    <row r="656" spans="3:26">
      <c r="C656" s="48" t="s">
        <v>1222</v>
      </c>
      <c r="D656" s="48" t="s">
        <v>1222</v>
      </c>
      <c r="E656" s="18" t="s">
        <v>1217</v>
      </c>
      <c r="F656" s="526" t="s">
        <v>1218</v>
      </c>
      <c r="G656" s="283"/>
      <c r="H656" s="527" t="s">
        <v>538</v>
      </c>
      <c r="I656" s="13" t="s">
        <v>1371</v>
      </c>
      <c r="J656" s="196" t="s">
        <v>1766</v>
      </c>
      <c r="K656" s="13" t="s">
        <v>1767</v>
      </c>
      <c r="L656" s="155">
        <v>16.350000000000001</v>
      </c>
      <c r="M656" s="155">
        <v>16.350000000000001</v>
      </c>
      <c r="N656" s="196">
        <v>2</v>
      </c>
      <c r="P656" s="13" t="s">
        <v>268</v>
      </c>
      <c r="Q656" s="13" t="s">
        <v>457</v>
      </c>
      <c r="R656" s="13" t="s">
        <v>573</v>
      </c>
      <c r="S656" s="19" t="s">
        <v>360</v>
      </c>
      <c r="T656" s="18">
        <v>0</v>
      </c>
      <c r="U656" s="18"/>
      <c r="V656" s="18"/>
      <c r="W656" s="18">
        <f t="shared" si="14"/>
        <v>0</v>
      </c>
      <c r="X656" s="18"/>
      <c r="Y656" s="18"/>
      <c r="Z656" s="275"/>
    </row>
    <row r="657" spans="3:26">
      <c r="C657" s="48" t="s">
        <v>1222</v>
      </c>
      <c r="D657" s="48" t="s">
        <v>1222</v>
      </c>
      <c r="E657" s="18" t="s">
        <v>1217</v>
      </c>
      <c r="F657" s="526" t="s">
        <v>1218</v>
      </c>
      <c r="G657" s="283"/>
      <c r="H657" s="527" t="s">
        <v>538</v>
      </c>
      <c r="I657" s="555" t="s">
        <v>192</v>
      </c>
      <c r="J657" s="34" t="s">
        <v>245</v>
      </c>
      <c r="L657" s="155">
        <v>5.26</v>
      </c>
      <c r="M657" s="155">
        <v>5.26</v>
      </c>
      <c r="N657" s="213"/>
      <c r="P657" s="13" t="s">
        <v>572</v>
      </c>
      <c r="Q657" s="13" t="s">
        <v>572</v>
      </c>
      <c r="R657" s="13" t="s">
        <v>573</v>
      </c>
      <c r="S657" s="19" t="s">
        <v>100</v>
      </c>
      <c r="T657" s="18">
        <v>0</v>
      </c>
      <c r="U657" s="18"/>
      <c r="V657" s="18"/>
      <c r="W657" s="18">
        <f t="shared" si="14"/>
        <v>0</v>
      </c>
      <c r="X657" s="18"/>
      <c r="Y657" s="18"/>
      <c r="Z657" s="275"/>
    </row>
    <row r="658" spans="3:26">
      <c r="C658" s="48" t="s">
        <v>1222</v>
      </c>
      <c r="D658" s="48" t="s">
        <v>1222</v>
      </c>
      <c r="E658" s="18" t="s">
        <v>1217</v>
      </c>
      <c r="F658" s="526" t="s">
        <v>1218</v>
      </c>
      <c r="G658" s="283" t="s">
        <v>1859</v>
      </c>
      <c r="H658" s="527" t="s">
        <v>538</v>
      </c>
      <c r="I658" s="13" t="s">
        <v>1371</v>
      </c>
      <c r="J658" s="283" t="s">
        <v>1768</v>
      </c>
      <c r="K658" s="13" t="s">
        <v>1769</v>
      </c>
      <c r="L658" s="155">
        <v>16.350000000000001</v>
      </c>
      <c r="M658" s="155">
        <v>16.350000000000001</v>
      </c>
      <c r="N658" s="196">
        <v>2</v>
      </c>
      <c r="P658" s="13" t="s">
        <v>268</v>
      </c>
      <c r="Q658" s="13" t="s">
        <v>457</v>
      </c>
      <c r="R658" s="13" t="s">
        <v>573</v>
      </c>
      <c r="S658" s="19" t="s">
        <v>360</v>
      </c>
      <c r="T658" s="18">
        <v>0</v>
      </c>
      <c r="U658" s="18"/>
      <c r="V658" s="18"/>
      <c r="W658" s="18">
        <f t="shared" si="14"/>
        <v>0</v>
      </c>
      <c r="X658" s="18"/>
      <c r="Y658" s="18"/>
      <c r="Z658" s="275"/>
    </row>
    <row r="659" spans="3:26">
      <c r="C659" s="48" t="s">
        <v>1222</v>
      </c>
      <c r="D659" s="48" t="s">
        <v>1222</v>
      </c>
      <c r="E659" s="18" t="s">
        <v>1217</v>
      </c>
      <c r="F659" s="526" t="s">
        <v>1218</v>
      </c>
      <c r="G659" s="283" t="s">
        <v>1859</v>
      </c>
      <c r="H659" s="527" t="s">
        <v>538</v>
      </c>
      <c r="I659" s="13" t="s">
        <v>1371</v>
      </c>
      <c r="J659" s="283" t="s">
        <v>1770</v>
      </c>
      <c r="K659" s="13" t="s">
        <v>1769</v>
      </c>
      <c r="L659" s="155">
        <v>16.350000000000001</v>
      </c>
      <c r="M659" s="155">
        <v>16.350000000000001</v>
      </c>
      <c r="N659" s="196">
        <v>2</v>
      </c>
      <c r="P659" s="13" t="s">
        <v>268</v>
      </c>
      <c r="Q659" s="13" t="s">
        <v>457</v>
      </c>
      <c r="R659" s="13" t="s">
        <v>573</v>
      </c>
      <c r="S659" s="19" t="s">
        <v>360</v>
      </c>
      <c r="T659" s="18">
        <v>0</v>
      </c>
      <c r="U659" s="18"/>
      <c r="V659" s="18"/>
      <c r="W659" s="18">
        <f t="shared" si="14"/>
        <v>0</v>
      </c>
      <c r="X659" s="18"/>
      <c r="Y659" s="18"/>
      <c r="Z659" s="275"/>
    </row>
    <row r="660" spans="3:26">
      <c r="C660" s="48" t="s">
        <v>1222</v>
      </c>
      <c r="D660" s="48" t="s">
        <v>1222</v>
      </c>
      <c r="E660" s="18" t="s">
        <v>1217</v>
      </c>
      <c r="F660" s="526" t="s">
        <v>1218</v>
      </c>
      <c r="G660" s="283"/>
      <c r="H660" s="527" t="s">
        <v>538</v>
      </c>
      <c r="I660" s="555" t="s">
        <v>192</v>
      </c>
      <c r="J660" s="34" t="s">
        <v>245</v>
      </c>
      <c r="L660" s="155">
        <v>5.26</v>
      </c>
      <c r="M660" s="155">
        <v>5.26</v>
      </c>
      <c r="N660" s="213"/>
      <c r="P660" s="13" t="s">
        <v>572</v>
      </c>
      <c r="Q660" s="13" t="s">
        <v>572</v>
      </c>
      <c r="R660" s="13" t="s">
        <v>573</v>
      </c>
      <c r="S660" s="19" t="s">
        <v>100</v>
      </c>
      <c r="T660" s="18">
        <v>0</v>
      </c>
      <c r="U660" s="18"/>
      <c r="V660" s="18"/>
      <c r="W660" s="18">
        <f t="shared" si="14"/>
        <v>0</v>
      </c>
      <c r="X660" s="18"/>
      <c r="Y660" s="18"/>
      <c r="Z660" s="275"/>
    </row>
    <row r="661" spans="3:26">
      <c r="C661" s="48" t="s">
        <v>1222</v>
      </c>
      <c r="D661" s="48" t="s">
        <v>1222</v>
      </c>
      <c r="E661" s="18" t="s">
        <v>1217</v>
      </c>
      <c r="F661" s="526" t="s">
        <v>1218</v>
      </c>
      <c r="G661" s="283" t="s">
        <v>1859</v>
      </c>
      <c r="H661" s="527" t="s">
        <v>538</v>
      </c>
      <c r="I661" s="13" t="s">
        <v>1371</v>
      </c>
      <c r="J661" s="196" t="s">
        <v>1771</v>
      </c>
      <c r="K661" s="13" t="s">
        <v>1772</v>
      </c>
      <c r="L661" s="155">
        <v>16.350000000000001</v>
      </c>
      <c r="M661" s="155">
        <v>16.350000000000001</v>
      </c>
      <c r="N661" s="196">
        <v>2</v>
      </c>
      <c r="P661" s="13" t="s">
        <v>268</v>
      </c>
      <c r="Q661" s="13" t="s">
        <v>457</v>
      </c>
      <c r="R661" s="13" t="s">
        <v>573</v>
      </c>
      <c r="S661" s="19" t="s">
        <v>360</v>
      </c>
      <c r="T661" s="18">
        <v>0</v>
      </c>
      <c r="U661" s="18"/>
      <c r="V661" s="18"/>
      <c r="W661" s="18">
        <f t="shared" si="14"/>
        <v>0</v>
      </c>
      <c r="X661" s="18"/>
      <c r="Y661" s="18"/>
      <c r="Z661" s="275"/>
    </row>
    <row r="662" spans="3:26">
      <c r="C662" s="48" t="s">
        <v>1222</v>
      </c>
      <c r="D662" s="48" t="s">
        <v>1222</v>
      </c>
      <c r="E662" s="18" t="s">
        <v>1217</v>
      </c>
      <c r="F662" s="526" t="s">
        <v>1218</v>
      </c>
      <c r="G662" s="283" t="s">
        <v>1859</v>
      </c>
      <c r="H662" s="527" t="s">
        <v>538</v>
      </c>
      <c r="I662" s="13" t="s">
        <v>1371</v>
      </c>
      <c r="J662" s="196" t="s">
        <v>1771</v>
      </c>
      <c r="K662" s="13" t="s">
        <v>1772</v>
      </c>
      <c r="L662" s="155">
        <v>16.350000000000001</v>
      </c>
      <c r="M662" s="155">
        <v>16.350000000000001</v>
      </c>
      <c r="N662" s="196">
        <v>2</v>
      </c>
      <c r="P662" s="13" t="s">
        <v>268</v>
      </c>
      <c r="Q662" s="13" t="s">
        <v>457</v>
      </c>
      <c r="R662" s="13" t="s">
        <v>573</v>
      </c>
      <c r="S662" s="19" t="s">
        <v>360</v>
      </c>
      <c r="T662" s="18">
        <v>0</v>
      </c>
      <c r="U662" s="18"/>
      <c r="V662" s="18"/>
      <c r="W662" s="18">
        <f t="shared" si="14"/>
        <v>0</v>
      </c>
      <c r="X662" s="18"/>
      <c r="Y662" s="18"/>
      <c r="Z662" s="275"/>
    </row>
    <row r="663" spans="3:26">
      <c r="C663" s="48" t="s">
        <v>1222</v>
      </c>
      <c r="D663" s="48" t="s">
        <v>1222</v>
      </c>
      <c r="E663" s="18" t="s">
        <v>1217</v>
      </c>
      <c r="F663" s="526" t="s">
        <v>1218</v>
      </c>
      <c r="G663" s="283"/>
      <c r="H663" s="527" t="s">
        <v>538</v>
      </c>
      <c r="I663" s="555" t="s">
        <v>192</v>
      </c>
      <c r="J663" s="34" t="s">
        <v>245</v>
      </c>
      <c r="L663" s="155">
        <v>5.26</v>
      </c>
      <c r="M663" s="155">
        <v>5.26</v>
      </c>
      <c r="N663" s="213"/>
      <c r="P663" s="13" t="s">
        <v>572</v>
      </c>
      <c r="Q663" s="13" t="s">
        <v>572</v>
      </c>
      <c r="R663" s="13" t="s">
        <v>573</v>
      </c>
      <c r="S663" s="19" t="s">
        <v>100</v>
      </c>
      <c r="T663" s="18">
        <v>0</v>
      </c>
      <c r="U663" s="18"/>
      <c r="V663" s="18"/>
      <c r="W663" s="18">
        <f t="shared" si="14"/>
        <v>0</v>
      </c>
      <c r="X663" s="18"/>
      <c r="Y663" s="18"/>
      <c r="Z663" s="275"/>
    </row>
    <row r="664" spans="3:26">
      <c r="C664" s="48" t="s">
        <v>1222</v>
      </c>
      <c r="D664" s="48" t="s">
        <v>1222</v>
      </c>
      <c r="E664" s="18" t="s">
        <v>1217</v>
      </c>
      <c r="F664" s="526" t="s">
        <v>1218</v>
      </c>
      <c r="G664" s="283" t="s">
        <v>1880</v>
      </c>
      <c r="H664" s="527" t="s">
        <v>538</v>
      </c>
      <c r="I664" s="13" t="s">
        <v>1371</v>
      </c>
      <c r="J664" s="196" t="s">
        <v>1773</v>
      </c>
      <c r="K664" s="13" t="s">
        <v>1774</v>
      </c>
      <c r="L664" s="155">
        <v>16.350000000000001</v>
      </c>
      <c r="M664" s="155">
        <v>16.350000000000001</v>
      </c>
      <c r="N664" s="196">
        <v>2</v>
      </c>
      <c r="P664" s="13" t="s">
        <v>268</v>
      </c>
      <c r="Q664" s="13" t="s">
        <v>457</v>
      </c>
      <c r="R664" s="13" t="s">
        <v>573</v>
      </c>
      <c r="S664" s="19" t="s">
        <v>360</v>
      </c>
      <c r="T664" s="18">
        <v>0</v>
      </c>
      <c r="U664" s="18"/>
      <c r="V664" s="18"/>
      <c r="W664" s="18">
        <f t="shared" si="14"/>
        <v>0</v>
      </c>
      <c r="X664" s="18"/>
      <c r="Y664" s="18"/>
      <c r="Z664" s="275"/>
    </row>
    <row r="665" spans="3:26">
      <c r="C665" s="48" t="s">
        <v>1222</v>
      </c>
      <c r="D665" s="48" t="s">
        <v>1222</v>
      </c>
      <c r="E665" s="18" t="s">
        <v>1217</v>
      </c>
      <c r="F665" s="526" t="s">
        <v>1218</v>
      </c>
      <c r="G665" s="283" t="s">
        <v>1880</v>
      </c>
      <c r="H665" s="527" t="s">
        <v>538</v>
      </c>
      <c r="I665" s="13" t="s">
        <v>1371</v>
      </c>
      <c r="J665" s="196" t="s">
        <v>1773</v>
      </c>
      <c r="K665" s="13" t="s">
        <v>1774</v>
      </c>
      <c r="L665" s="155">
        <v>16.350000000000001</v>
      </c>
      <c r="M665" s="155">
        <v>16.350000000000001</v>
      </c>
      <c r="N665" s="196">
        <v>2</v>
      </c>
      <c r="P665" s="13" t="s">
        <v>268</v>
      </c>
      <c r="Q665" s="13" t="s">
        <v>457</v>
      </c>
      <c r="R665" s="13" t="s">
        <v>573</v>
      </c>
      <c r="S665" s="19" t="s">
        <v>360</v>
      </c>
      <c r="T665" s="18">
        <v>0</v>
      </c>
      <c r="U665" s="18"/>
      <c r="V665" s="18"/>
      <c r="W665" s="18">
        <f t="shared" si="14"/>
        <v>0</v>
      </c>
      <c r="X665" s="18"/>
      <c r="Y665" s="18"/>
      <c r="Z665" s="275"/>
    </row>
    <row r="666" spans="3:26">
      <c r="C666" s="48" t="s">
        <v>1222</v>
      </c>
      <c r="D666" s="48" t="s">
        <v>1222</v>
      </c>
      <c r="E666" s="18" t="s">
        <v>1217</v>
      </c>
      <c r="F666" s="526" t="s">
        <v>1218</v>
      </c>
      <c r="G666" s="283"/>
      <c r="H666" s="527" t="s">
        <v>538</v>
      </c>
      <c r="I666" s="555" t="s">
        <v>192</v>
      </c>
      <c r="J666" s="34" t="s">
        <v>245</v>
      </c>
      <c r="L666" s="155">
        <v>5.26</v>
      </c>
      <c r="M666" s="155">
        <v>5.26</v>
      </c>
      <c r="N666" s="213"/>
      <c r="P666" s="13" t="s">
        <v>572</v>
      </c>
      <c r="Q666" s="13" t="s">
        <v>572</v>
      </c>
      <c r="R666" s="13" t="s">
        <v>573</v>
      </c>
      <c r="S666" s="19" t="s">
        <v>100</v>
      </c>
      <c r="T666" s="18">
        <v>0</v>
      </c>
      <c r="U666" s="18"/>
      <c r="V666" s="18"/>
      <c r="W666" s="18">
        <f t="shared" si="14"/>
        <v>0</v>
      </c>
      <c r="X666" s="18"/>
      <c r="Y666" s="18"/>
      <c r="Z666" s="275"/>
    </row>
    <row r="667" spans="3:26">
      <c r="C667" s="48" t="s">
        <v>1222</v>
      </c>
      <c r="D667" s="48" t="s">
        <v>1222</v>
      </c>
      <c r="E667" s="18" t="s">
        <v>1217</v>
      </c>
      <c r="F667" s="526" t="s">
        <v>1218</v>
      </c>
      <c r="G667" s="283" t="s">
        <v>1879</v>
      </c>
      <c r="H667" s="527" t="s">
        <v>538</v>
      </c>
      <c r="I667" s="13" t="s">
        <v>1371</v>
      </c>
      <c r="J667" s="196" t="s">
        <v>1775</v>
      </c>
      <c r="K667" s="13" t="s">
        <v>1776</v>
      </c>
      <c r="L667" s="155">
        <v>16.350000000000001</v>
      </c>
      <c r="M667" s="155">
        <v>16.350000000000001</v>
      </c>
      <c r="N667" s="196">
        <v>2</v>
      </c>
      <c r="P667" s="13" t="s">
        <v>268</v>
      </c>
      <c r="Q667" s="13" t="s">
        <v>457</v>
      </c>
      <c r="R667" s="13" t="s">
        <v>573</v>
      </c>
      <c r="S667" s="19" t="s">
        <v>360</v>
      </c>
      <c r="T667" s="18">
        <v>0</v>
      </c>
      <c r="U667" s="18"/>
      <c r="V667" s="18"/>
      <c r="W667" s="18">
        <f t="shared" si="14"/>
        <v>0</v>
      </c>
      <c r="X667" s="18"/>
      <c r="Y667" s="18"/>
      <c r="Z667" s="275"/>
    </row>
    <row r="668" spans="3:26">
      <c r="C668" s="48" t="s">
        <v>1222</v>
      </c>
      <c r="D668" s="48" t="s">
        <v>1222</v>
      </c>
      <c r="E668" s="18" t="s">
        <v>1217</v>
      </c>
      <c r="F668" s="526" t="s">
        <v>1218</v>
      </c>
      <c r="G668" s="283"/>
      <c r="H668" s="527" t="s">
        <v>538</v>
      </c>
      <c r="I668" s="555" t="s">
        <v>192</v>
      </c>
      <c r="J668" s="34" t="s">
        <v>245</v>
      </c>
      <c r="L668" s="155">
        <v>6.97</v>
      </c>
      <c r="M668" s="155">
        <v>6.97</v>
      </c>
      <c r="N668" s="213"/>
      <c r="P668" s="13" t="s">
        <v>268</v>
      </c>
      <c r="Q668" s="13" t="s">
        <v>457</v>
      </c>
      <c r="R668" s="13" t="s">
        <v>573</v>
      </c>
      <c r="S668" s="19" t="s">
        <v>360</v>
      </c>
      <c r="T668" s="18">
        <v>0</v>
      </c>
      <c r="U668" s="18"/>
      <c r="V668" s="18"/>
      <c r="W668" s="18">
        <f t="shared" si="14"/>
        <v>0</v>
      </c>
      <c r="X668" s="18"/>
      <c r="Y668" s="18"/>
      <c r="Z668" s="275"/>
    </row>
    <row r="669" spans="3:26">
      <c r="C669" s="48" t="s">
        <v>1222</v>
      </c>
      <c r="D669" s="48" t="s">
        <v>1222</v>
      </c>
      <c r="E669" s="18" t="s">
        <v>1217</v>
      </c>
      <c r="F669" s="526" t="s">
        <v>1218</v>
      </c>
      <c r="G669" s="283" t="s">
        <v>1879</v>
      </c>
      <c r="H669" s="527" t="s">
        <v>538</v>
      </c>
      <c r="I669" s="13" t="s">
        <v>1371</v>
      </c>
      <c r="J669" s="196" t="s">
        <v>1775</v>
      </c>
      <c r="K669" s="13" t="s">
        <v>1776</v>
      </c>
      <c r="L669" s="155">
        <v>16.350000000000001</v>
      </c>
      <c r="M669" s="155">
        <v>16.350000000000001</v>
      </c>
      <c r="N669" s="196">
        <v>2</v>
      </c>
      <c r="P669" s="13" t="s">
        <v>268</v>
      </c>
      <c r="Q669" s="13" t="s">
        <v>457</v>
      </c>
      <c r="R669" s="13" t="s">
        <v>573</v>
      </c>
      <c r="S669" s="19" t="s">
        <v>360</v>
      </c>
      <c r="T669" s="18">
        <v>0</v>
      </c>
      <c r="U669" s="18"/>
      <c r="V669" s="18"/>
      <c r="W669" s="18">
        <f t="shared" si="14"/>
        <v>0</v>
      </c>
      <c r="X669" s="18"/>
      <c r="Y669" s="18"/>
      <c r="Z669" s="275"/>
    </row>
    <row r="670" spans="3:26">
      <c r="C670" s="48" t="s">
        <v>1222</v>
      </c>
      <c r="D670" s="48" t="s">
        <v>1222</v>
      </c>
      <c r="E670" s="18" t="s">
        <v>1217</v>
      </c>
      <c r="F670" s="526" t="s">
        <v>1218</v>
      </c>
      <c r="G670" s="283" t="s">
        <v>1879</v>
      </c>
      <c r="H670" s="527" t="s">
        <v>538</v>
      </c>
      <c r="I670" s="13" t="s">
        <v>1371</v>
      </c>
      <c r="J670" s="196" t="s">
        <v>1777</v>
      </c>
      <c r="K670" s="13" t="s">
        <v>1778</v>
      </c>
      <c r="L670" s="155">
        <v>16.350000000000001</v>
      </c>
      <c r="M670" s="155">
        <v>16.350000000000001</v>
      </c>
      <c r="N670" s="196">
        <v>2</v>
      </c>
      <c r="P670" s="13" t="s">
        <v>268</v>
      </c>
      <c r="Q670" s="13" t="s">
        <v>457</v>
      </c>
      <c r="R670" s="13" t="s">
        <v>573</v>
      </c>
      <c r="S670" s="19" t="s">
        <v>360</v>
      </c>
      <c r="T670" s="18">
        <v>0</v>
      </c>
      <c r="U670" s="18"/>
      <c r="V670" s="18"/>
      <c r="W670" s="18">
        <f t="shared" si="14"/>
        <v>0</v>
      </c>
      <c r="X670" s="18"/>
      <c r="Y670" s="18"/>
      <c r="Z670" s="275"/>
    </row>
    <row r="671" spans="3:26">
      <c r="C671" s="48" t="s">
        <v>1222</v>
      </c>
      <c r="D671" s="48" t="s">
        <v>1222</v>
      </c>
      <c r="E671" s="18" t="s">
        <v>1217</v>
      </c>
      <c r="F671" s="526" t="s">
        <v>1218</v>
      </c>
      <c r="G671" s="283"/>
      <c r="H671" s="527" t="s">
        <v>538</v>
      </c>
      <c r="I671" s="555" t="s">
        <v>192</v>
      </c>
      <c r="J671" s="34" t="s">
        <v>245</v>
      </c>
      <c r="L671" s="155">
        <v>5.26</v>
      </c>
      <c r="M671" s="155">
        <v>5.26</v>
      </c>
      <c r="N671" s="213"/>
      <c r="P671" s="13" t="s">
        <v>572</v>
      </c>
      <c r="Q671" s="13" t="s">
        <v>572</v>
      </c>
      <c r="R671" s="13" t="s">
        <v>573</v>
      </c>
      <c r="S671" s="19" t="s">
        <v>100</v>
      </c>
      <c r="T671" s="18">
        <v>0</v>
      </c>
      <c r="U671" s="18"/>
      <c r="V671" s="18"/>
      <c r="W671" s="18">
        <f t="shared" si="14"/>
        <v>0</v>
      </c>
      <c r="X671" s="18"/>
      <c r="Y671" s="18"/>
      <c r="Z671" s="275"/>
    </row>
    <row r="672" spans="3:26">
      <c r="C672" s="48" t="s">
        <v>1222</v>
      </c>
      <c r="D672" s="48" t="s">
        <v>1222</v>
      </c>
      <c r="E672" s="18" t="s">
        <v>1217</v>
      </c>
      <c r="F672" s="526" t="s">
        <v>1218</v>
      </c>
      <c r="G672" s="283" t="s">
        <v>1879</v>
      </c>
      <c r="H672" s="527" t="s">
        <v>538</v>
      </c>
      <c r="I672" s="13" t="s">
        <v>1371</v>
      </c>
      <c r="J672" s="196" t="s">
        <v>1777</v>
      </c>
      <c r="K672" s="13" t="s">
        <v>1778</v>
      </c>
      <c r="L672" s="155">
        <v>16.350000000000001</v>
      </c>
      <c r="M672" s="155">
        <v>16.350000000000001</v>
      </c>
      <c r="N672" s="196">
        <v>2</v>
      </c>
      <c r="P672" s="13" t="s">
        <v>268</v>
      </c>
      <c r="Q672" s="13" t="s">
        <v>457</v>
      </c>
      <c r="R672" s="13" t="s">
        <v>573</v>
      </c>
      <c r="S672" s="19" t="s">
        <v>360</v>
      </c>
      <c r="T672" s="18">
        <v>0</v>
      </c>
      <c r="U672" s="18"/>
      <c r="V672" s="18"/>
      <c r="W672" s="18">
        <f t="shared" si="14"/>
        <v>0</v>
      </c>
      <c r="X672" s="18"/>
      <c r="Y672" s="18"/>
      <c r="Z672" s="275"/>
    </row>
    <row r="673" spans="3:26">
      <c r="C673" s="48" t="s">
        <v>1222</v>
      </c>
      <c r="D673" s="48" t="s">
        <v>1222</v>
      </c>
      <c r="E673" s="18" t="s">
        <v>1217</v>
      </c>
      <c r="F673" s="526" t="s">
        <v>1218</v>
      </c>
      <c r="G673" s="283" t="s">
        <v>1858</v>
      </c>
      <c r="H673" s="527" t="s">
        <v>538</v>
      </c>
      <c r="I673" s="13" t="s">
        <v>1371</v>
      </c>
      <c r="J673" s="196" t="s">
        <v>1779</v>
      </c>
      <c r="K673" s="13" t="s">
        <v>1780</v>
      </c>
      <c r="L673" s="155">
        <v>16.350000000000001</v>
      </c>
      <c r="M673" s="155">
        <v>16.350000000000001</v>
      </c>
      <c r="N673" s="196">
        <v>2</v>
      </c>
      <c r="P673" s="13" t="s">
        <v>268</v>
      </c>
      <c r="Q673" s="13" t="s">
        <v>457</v>
      </c>
      <c r="R673" s="13" t="s">
        <v>573</v>
      </c>
      <c r="S673" s="19" t="s">
        <v>360</v>
      </c>
      <c r="T673" s="18">
        <v>0</v>
      </c>
      <c r="U673" s="18"/>
      <c r="V673" s="18"/>
      <c r="W673" s="18">
        <f t="shared" si="14"/>
        <v>0</v>
      </c>
      <c r="X673" s="18"/>
      <c r="Y673" s="18"/>
      <c r="Z673" s="275"/>
    </row>
    <row r="674" spans="3:26">
      <c r="C674" s="48" t="s">
        <v>1222</v>
      </c>
      <c r="D674" s="48" t="s">
        <v>1222</v>
      </c>
      <c r="E674" s="18" t="s">
        <v>1217</v>
      </c>
      <c r="F674" s="526" t="s">
        <v>1218</v>
      </c>
      <c r="G674" s="283"/>
      <c r="H674" s="527" t="s">
        <v>538</v>
      </c>
      <c r="I674" s="555" t="s">
        <v>192</v>
      </c>
      <c r="J674" s="34" t="s">
        <v>245</v>
      </c>
      <c r="L674" s="155">
        <v>5.26</v>
      </c>
      <c r="M674" s="155">
        <v>5.26</v>
      </c>
      <c r="N674" s="213"/>
      <c r="P674" s="13" t="s">
        <v>572</v>
      </c>
      <c r="Q674" s="13" t="s">
        <v>572</v>
      </c>
      <c r="R674" s="13" t="s">
        <v>573</v>
      </c>
      <c r="S674" s="19" t="s">
        <v>100</v>
      </c>
      <c r="T674" s="18">
        <v>0</v>
      </c>
      <c r="U674" s="18"/>
      <c r="V674" s="18"/>
      <c r="W674" s="18">
        <f t="shared" si="14"/>
        <v>0</v>
      </c>
      <c r="X674" s="18"/>
      <c r="Y674" s="18"/>
      <c r="Z674" s="275"/>
    </row>
    <row r="675" spans="3:26">
      <c r="C675" s="48" t="s">
        <v>1222</v>
      </c>
      <c r="D675" s="48" t="s">
        <v>1222</v>
      </c>
      <c r="E675" s="18" t="s">
        <v>1217</v>
      </c>
      <c r="F675" s="526" t="s">
        <v>1218</v>
      </c>
      <c r="G675" s="283" t="s">
        <v>1858</v>
      </c>
      <c r="H675" s="527" t="s">
        <v>538</v>
      </c>
      <c r="I675" s="13" t="s">
        <v>1371</v>
      </c>
      <c r="J675" s="196" t="s">
        <v>1781</v>
      </c>
      <c r="K675" s="13" t="s">
        <v>1782</v>
      </c>
      <c r="L675" s="155">
        <v>16.350000000000001</v>
      </c>
      <c r="M675" s="155">
        <v>16.350000000000001</v>
      </c>
      <c r="N675" s="196">
        <v>2</v>
      </c>
      <c r="P675" s="13" t="s">
        <v>268</v>
      </c>
      <c r="Q675" s="13" t="s">
        <v>457</v>
      </c>
      <c r="R675" s="13" t="s">
        <v>573</v>
      </c>
      <c r="S675" s="19" t="s">
        <v>360</v>
      </c>
      <c r="T675" s="18">
        <v>0</v>
      </c>
      <c r="U675" s="18"/>
      <c r="V675" s="18"/>
      <c r="W675" s="18">
        <f t="shared" si="14"/>
        <v>0</v>
      </c>
      <c r="X675" s="18"/>
      <c r="Y675" s="18"/>
      <c r="Z675" s="275"/>
    </row>
    <row r="676" spans="3:26">
      <c r="C676" s="48" t="s">
        <v>1222</v>
      </c>
      <c r="D676" s="48" t="s">
        <v>1222</v>
      </c>
      <c r="E676" s="18" t="s">
        <v>1217</v>
      </c>
      <c r="F676" s="526" t="s">
        <v>1218</v>
      </c>
      <c r="G676" s="283" t="s">
        <v>1858</v>
      </c>
      <c r="H676" s="527" t="s">
        <v>538</v>
      </c>
      <c r="I676" s="13" t="s">
        <v>1371</v>
      </c>
      <c r="J676" s="196" t="s">
        <v>1783</v>
      </c>
      <c r="K676" s="13" t="s">
        <v>1784</v>
      </c>
      <c r="L676" s="155">
        <v>16.350000000000001</v>
      </c>
      <c r="M676" s="155">
        <v>16.350000000000001</v>
      </c>
      <c r="N676" s="196">
        <v>2</v>
      </c>
      <c r="P676" s="13" t="s">
        <v>268</v>
      </c>
      <c r="Q676" s="13" t="s">
        <v>457</v>
      </c>
      <c r="R676" s="13" t="s">
        <v>573</v>
      </c>
      <c r="S676" s="19" t="s">
        <v>360</v>
      </c>
      <c r="T676" s="18">
        <v>0</v>
      </c>
      <c r="U676" s="18"/>
      <c r="V676" s="18"/>
      <c r="W676" s="18">
        <f t="shared" si="14"/>
        <v>0</v>
      </c>
      <c r="X676" s="18"/>
      <c r="Y676" s="18"/>
      <c r="Z676" s="275"/>
    </row>
    <row r="677" spans="3:26">
      <c r="C677" s="48" t="s">
        <v>1222</v>
      </c>
      <c r="D677" s="48" t="s">
        <v>1222</v>
      </c>
      <c r="E677" s="18" t="s">
        <v>1217</v>
      </c>
      <c r="F677" s="526" t="s">
        <v>1218</v>
      </c>
      <c r="G677" s="283"/>
      <c r="H677" s="527" t="s">
        <v>538</v>
      </c>
      <c r="I677" s="555" t="s">
        <v>192</v>
      </c>
      <c r="J677" s="34" t="s">
        <v>245</v>
      </c>
      <c r="L677" s="155">
        <v>5.26</v>
      </c>
      <c r="M677" s="155">
        <v>5.26</v>
      </c>
      <c r="N677" s="213"/>
      <c r="P677" s="13" t="s">
        <v>572</v>
      </c>
      <c r="Q677" s="13" t="s">
        <v>572</v>
      </c>
      <c r="R677" s="13" t="s">
        <v>573</v>
      </c>
      <c r="S677" s="19" t="s">
        <v>100</v>
      </c>
      <c r="T677" s="18">
        <v>0</v>
      </c>
      <c r="U677" s="18"/>
      <c r="V677" s="18"/>
      <c r="W677" s="18">
        <f t="shared" si="14"/>
        <v>0</v>
      </c>
      <c r="X677" s="18"/>
      <c r="Y677" s="18"/>
      <c r="Z677" s="275"/>
    </row>
    <row r="678" spans="3:26">
      <c r="C678" s="48" t="s">
        <v>1222</v>
      </c>
      <c r="D678" s="48" t="s">
        <v>1222</v>
      </c>
      <c r="E678" s="18" t="s">
        <v>1217</v>
      </c>
      <c r="F678" s="526" t="s">
        <v>1218</v>
      </c>
      <c r="G678" s="283" t="s">
        <v>1858</v>
      </c>
      <c r="H678" s="527" t="s">
        <v>538</v>
      </c>
      <c r="I678" s="13" t="s">
        <v>1371</v>
      </c>
      <c r="J678" s="196" t="s">
        <v>1785</v>
      </c>
      <c r="K678" s="13" t="s">
        <v>1786</v>
      </c>
      <c r="L678" s="155">
        <v>16.350000000000001</v>
      </c>
      <c r="M678" s="155">
        <v>16.350000000000001</v>
      </c>
      <c r="N678" s="196">
        <v>2</v>
      </c>
      <c r="P678" s="13" t="s">
        <v>268</v>
      </c>
      <c r="Q678" s="13" t="s">
        <v>457</v>
      </c>
      <c r="R678" s="13" t="s">
        <v>573</v>
      </c>
      <c r="S678" s="19" t="s">
        <v>360</v>
      </c>
      <c r="T678" s="18">
        <v>0</v>
      </c>
      <c r="U678" s="18"/>
      <c r="V678" s="18"/>
      <c r="W678" s="18">
        <f t="shared" si="14"/>
        <v>0</v>
      </c>
      <c r="X678" s="18"/>
      <c r="Y678" s="18"/>
      <c r="Z678" s="275"/>
    </row>
    <row r="679" spans="3:26">
      <c r="C679" s="48" t="s">
        <v>1222</v>
      </c>
      <c r="D679" s="48" t="s">
        <v>1222</v>
      </c>
      <c r="E679" s="18" t="s">
        <v>1217</v>
      </c>
      <c r="F679" s="526" t="s">
        <v>1218</v>
      </c>
      <c r="G679" s="283" t="s">
        <v>1879</v>
      </c>
      <c r="H679" s="527" t="s">
        <v>538</v>
      </c>
      <c r="I679" s="13" t="s">
        <v>1371</v>
      </c>
      <c r="J679" s="196" t="s">
        <v>1787</v>
      </c>
      <c r="K679" s="13" t="s">
        <v>1788</v>
      </c>
      <c r="L679" s="155">
        <v>16.350000000000001</v>
      </c>
      <c r="M679" s="155">
        <v>16.350000000000001</v>
      </c>
      <c r="N679" s="196">
        <v>2</v>
      </c>
      <c r="P679" s="13" t="s">
        <v>268</v>
      </c>
      <c r="Q679" s="13" t="s">
        <v>457</v>
      </c>
      <c r="R679" s="13" t="s">
        <v>573</v>
      </c>
      <c r="S679" s="19" t="s">
        <v>360</v>
      </c>
      <c r="T679" s="18">
        <v>0</v>
      </c>
      <c r="U679" s="18"/>
      <c r="V679" s="18"/>
      <c r="W679" s="18">
        <f t="shared" si="14"/>
        <v>0</v>
      </c>
      <c r="X679" s="18"/>
      <c r="Y679" s="18"/>
      <c r="Z679" s="275"/>
    </row>
    <row r="680" spans="3:26">
      <c r="C680" s="48" t="s">
        <v>1222</v>
      </c>
      <c r="D680" s="48" t="s">
        <v>1222</v>
      </c>
      <c r="E680" s="18" t="s">
        <v>1217</v>
      </c>
      <c r="F680" s="526" t="s">
        <v>1218</v>
      </c>
      <c r="G680" s="283"/>
      <c r="H680" s="527" t="s">
        <v>538</v>
      </c>
      <c r="I680" s="555" t="s">
        <v>192</v>
      </c>
      <c r="J680" s="34" t="s">
        <v>245</v>
      </c>
      <c r="L680" s="155">
        <v>5.26</v>
      </c>
      <c r="M680" s="155">
        <v>5.26</v>
      </c>
      <c r="N680" s="213"/>
      <c r="P680" s="13" t="s">
        <v>572</v>
      </c>
      <c r="Q680" s="13" t="s">
        <v>572</v>
      </c>
      <c r="R680" s="13" t="s">
        <v>573</v>
      </c>
      <c r="S680" s="19" t="s">
        <v>100</v>
      </c>
      <c r="T680" s="18">
        <v>0</v>
      </c>
      <c r="U680" s="18"/>
      <c r="V680" s="18"/>
      <c r="W680" s="18">
        <f t="shared" si="14"/>
        <v>0</v>
      </c>
      <c r="X680" s="18"/>
      <c r="Y680" s="18"/>
      <c r="Z680" s="275"/>
    </row>
    <row r="681" spans="3:26">
      <c r="C681" s="48" t="s">
        <v>1222</v>
      </c>
      <c r="D681" s="48" t="s">
        <v>1222</v>
      </c>
      <c r="E681" s="18" t="s">
        <v>1217</v>
      </c>
      <c r="F681" s="526" t="s">
        <v>1218</v>
      </c>
      <c r="G681" s="283" t="s">
        <v>1879</v>
      </c>
      <c r="H681" s="527" t="s">
        <v>538</v>
      </c>
      <c r="I681" s="13" t="s">
        <v>1371</v>
      </c>
      <c r="J681" s="196" t="s">
        <v>1789</v>
      </c>
      <c r="K681" s="13" t="s">
        <v>1790</v>
      </c>
      <c r="L681" s="155">
        <v>16.350000000000001</v>
      </c>
      <c r="M681" s="155">
        <v>16.350000000000001</v>
      </c>
      <c r="N681" s="196">
        <v>2</v>
      </c>
      <c r="P681" s="13" t="s">
        <v>268</v>
      </c>
      <c r="Q681" s="13" t="s">
        <v>457</v>
      </c>
      <c r="R681" s="13" t="s">
        <v>573</v>
      </c>
      <c r="S681" s="19" t="s">
        <v>360</v>
      </c>
      <c r="T681" s="18">
        <v>0</v>
      </c>
      <c r="U681" s="18"/>
      <c r="V681" s="18"/>
      <c r="W681" s="18">
        <f t="shared" si="14"/>
        <v>0</v>
      </c>
      <c r="X681" s="18"/>
      <c r="Y681" s="18"/>
      <c r="Z681" s="275"/>
    </row>
    <row r="682" spans="3:26">
      <c r="C682" s="48" t="s">
        <v>1222</v>
      </c>
      <c r="D682" s="48" t="s">
        <v>1222</v>
      </c>
      <c r="E682" s="18" t="s">
        <v>1217</v>
      </c>
      <c r="F682" s="526" t="s">
        <v>1218</v>
      </c>
      <c r="G682" s="283" t="s">
        <v>1879</v>
      </c>
      <c r="H682" s="527" t="s">
        <v>538</v>
      </c>
      <c r="I682" s="13" t="s">
        <v>1371</v>
      </c>
      <c r="J682" s="196" t="s">
        <v>1791</v>
      </c>
      <c r="K682" s="13" t="s">
        <v>1792</v>
      </c>
      <c r="L682" s="155">
        <v>16.350000000000001</v>
      </c>
      <c r="M682" s="155">
        <v>16.350000000000001</v>
      </c>
      <c r="N682" s="196">
        <v>2</v>
      </c>
      <c r="P682" s="13" t="s">
        <v>268</v>
      </c>
      <c r="Q682" s="13" t="s">
        <v>457</v>
      </c>
      <c r="R682" s="13" t="s">
        <v>573</v>
      </c>
      <c r="S682" s="19" t="s">
        <v>360</v>
      </c>
      <c r="T682" s="18">
        <v>0</v>
      </c>
      <c r="U682" s="18"/>
      <c r="V682" s="18"/>
      <c r="W682" s="18">
        <f t="shared" si="14"/>
        <v>0</v>
      </c>
      <c r="X682" s="18"/>
      <c r="Y682" s="18"/>
      <c r="Z682" s="275"/>
    </row>
    <row r="683" spans="3:26">
      <c r="C683" s="48" t="s">
        <v>1222</v>
      </c>
      <c r="D683" s="48" t="s">
        <v>1222</v>
      </c>
      <c r="E683" s="18" t="s">
        <v>1217</v>
      </c>
      <c r="F683" s="526" t="s">
        <v>1218</v>
      </c>
      <c r="G683" s="283"/>
      <c r="H683" s="527" t="s">
        <v>538</v>
      </c>
      <c r="I683" s="555" t="s">
        <v>192</v>
      </c>
      <c r="J683" s="34" t="s">
        <v>245</v>
      </c>
      <c r="L683" s="155">
        <v>5.26</v>
      </c>
      <c r="M683" s="155">
        <v>5.26</v>
      </c>
      <c r="N683" s="213"/>
      <c r="P683" s="13" t="s">
        <v>572</v>
      </c>
      <c r="Q683" s="13" t="s">
        <v>572</v>
      </c>
      <c r="R683" s="13" t="s">
        <v>573</v>
      </c>
      <c r="S683" s="19" t="s">
        <v>100</v>
      </c>
      <c r="T683" s="18">
        <v>0</v>
      </c>
      <c r="U683" s="18"/>
      <c r="V683" s="18"/>
      <c r="W683" s="18">
        <f t="shared" si="14"/>
        <v>0</v>
      </c>
      <c r="X683" s="18"/>
      <c r="Y683" s="18"/>
      <c r="Z683" s="275"/>
    </row>
    <row r="684" spans="3:26">
      <c r="C684" s="48" t="s">
        <v>1222</v>
      </c>
      <c r="D684" s="48" t="s">
        <v>1222</v>
      </c>
      <c r="E684" s="18" t="s">
        <v>1217</v>
      </c>
      <c r="F684" s="526" t="s">
        <v>1218</v>
      </c>
      <c r="G684" s="283" t="s">
        <v>1879</v>
      </c>
      <c r="H684" s="527" t="s">
        <v>538</v>
      </c>
      <c r="I684" s="13" t="s">
        <v>1371</v>
      </c>
      <c r="J684" s="196" t="s">
        <v>1793</v>
      </c>
      <c r="K684" s="13" t="s">
        <v>1794</v>
      </c>
      <c r="L684" s="155">
        <v>16.350000000000001</v>
      </c>
      <c r="M684" s="155">
        <v>16.350000000000001</v>
      </c>
      <c r="N684" s="196">
        <v>2</v>
      </c>
      <c r="P684" s="13" t="s">
        <v>268</v>
      </c>
      <c r="Q684" s="13" t="s">
        <v>457</v>
      </c>
      <c r="R684" s="13" t="s">
        <v>573</v>
      </c>
      <c r="S684" s="19" t="s">
        <v>360</v>
      </c>
      <c r="T684" s="18">
        <v>0</v>
      </c>
      <c r="U684" s="18"/>
      <c r="V684" s="18"/>
      <c r="W684" s="18">
        <f t="shared" si="14"/>
        <v>0</v>
      </c>
      <c r="X684" s="18"/>
      <c r="Y684" s="18"/>
      <c r="Z684" s="275"/>
    </row>
    <row r="685" spans="3:26">
      <c r="C685" s="48" t="s">
        <v>1222</v>
      </c>
      <c r="D685" s="48" t="s">
        <v>1222</v>
      </c>
      <c r="E685" s="18" t="s">
        <v>1217</v>
      </c>
      <c r="F685" s="526" t="s">
        <v>1218</v>
      </c>
      <c r="G685" s="283" t="s">
        <v>1859</v>
      </c>
      <c r="H685" s="527" t="s">
        <v>538</v>
      </c>
      <c r="I685" s="13" t="s">
        <v>1371</v>
      </c>
      <c r="J685" s="196" t="s">
        <v>1795</v>
      </c>
      <c r="K685" s="13" t="s">
        <v>1796</v>
      </c>
      <c r="L685" s="155">
        <v>16.350000000000001</v>
      </c>
      <c r="M685" s="155">
        <v>16.350000000000001</v>
      </c>
      <c r="N685" s="196">
        <v>2</v>
      </c>
      <c r="P685" s="13" t="s">
        <v>268</v>
      </c>
      <c r="Q685" s="13" t="s">
        <v>457</v>
      </c>
      <c r="R685" s="13" t="s">
        <v>573</v>
      </c>
      <c r="S685" s="19" t="s">
        <v>360</v>
      </c>
      <c r="T685" s="18">
        <v>0</v>
      </c>
      <c r="U685" s="18"/>
      <c r="V685" s="18"/>
      <c r="W685" s="18">
        <f t="shared" si="14"/>
        <v>0</v>
      </c>
      <c r="X685" s="18"/>
      <c r="Y685" s="18"/>
      <c r="Z685" s="275"/>
    </row>
    <row r="686" spans="3:26">
      <c r="C686" s="48" t="s">
        <v>1222</v>
      </c>
      <c r="D686" s="48" t="s">
        <v>1222</v>
      </c>
      <c r="E686" s="18" t="s">
        <v>1217</v>
      </c>
      <c r="F686" s="526" t="s">
        <v>1218</v>
      </c>
      <c r="G686" s="283"/>
      <c r="H686" s="527" t="s">
        <v>538</v>
      </c>
      <c r="I686" s="555" t="s">
        <v>192</v>
      </c>
      <c r="J686" s="34" t="s">
        <v>245</v>
      </c>
      <c r="L686" s="155">
        <v>5.26</v>
      </c>
      <c r="M686" s="155">
        <v>5.26</v>
      </c>
      <c r="N686" s="213"/>
      <c r="P686" s="13" t="s">
        <v>572</v>
      </c>
      <c r="Q686" s="13" t="s">
        <v>572</v>
      </c>
      <c r="R686" s="13" t="s">
        <v>573</v>
      </c>
      <c r="S686" s="19" t="s">
        <v>100</v>
      </c>
      <c r="T686" s="18">
        <v>0</v>
      </c>
      <c r="U686" s="18"/>
      <c r="V686" s="18"/>
      <c r="W686" s="18">
        <f t="shared" si="14"/>
        <v>0</v>
      </c>
      <c r="X686" s="18"/>
      <c r="Y686" s="18"/>
      <c r="Z686" s="275"/>
    </row>
    <row r="687" spans="3:26">
      <c r="C687" s="48" t="s">
        <v>1222</v>
      </c>
      <c r="D687" s="48" t="s">
        <v>1222</v>
      </c>
      <c r="E687" s="18" t="s">
        <v>1217</v>
      </c>
      <c r="F687" s="526" t="s">
        <v>1218</v>
      </c>
      <c r="G687" s="283" t="s">
        <v>1859</v>
      </c>
      <c r="H687" s="527" t="s">
        <v>538</v>
      </c>
      <c r="I687" s="13" t="s">
        <v>1371</v>
      </c>
      <c r="J687" s="196" t="s">
        <v>1797</v>
      </c>
      <c r="K687" s="13" t="s">
        <v>1798</v>
      </c>
      <c r="L687" s="155">
        <v>16.350000000000001</v>
      </c>
      <c r="M687" s="155">
        <v>16.350000000000001</v>
      </c>
      <c r="N687" s="196">
        <v>2</v>
      </c>
      <c r="P687" s="13" t="s">
        <v>268</v>
      </c>
      <c r="Q687" s="13" t="s">
        <v>457</v>
      </c>
      <c r="R687" s="13" t="s">
        <v>573</v>
      </c>
      <c r="S687" s="19" t="s">
        <v>360</v>
      </c>
      <c r="T687" s="18">
        <v>0</v>
      </c>
      <c r="U687" s="18"/>
      <c r="V687" s="18"/>
      <c r="W687" s="18">
        <f t="shared" si="14"/>
        <v>0</v>
      </c>
      <c r="X687" s="18"/>
      <c r="Y687" s="18"/>
      <c r="Z687" s="275"/>
    </row>
    <row r="688" spans="3:26">
      <c r="C688" s="48" t="s">
        <v>1222</v>
      </c>
      <c r="D688" s="48" t="s">
        <v>1222</v>
      </c>
      <c r="E688" s="18" t="s">
        <v>1217</v>
      </c>
      <c r="F688" s="526" t="s">
        <v>1218</v>
      </c>
      <c r="G688" s="283" t="s">
        <v>1859</v>
      </c>
      <c r="H688" s="527" t="s">
        <v>538</v>
      </c>
      <c r="I688" s="13" t="s">
        <v>1371</v>
      </c>
      <c r="J688" s="196" t="s">
        <v>1799</v>
      </c>
      <c r="K688" s="13" t="s">
        <v>1800</v>
      </c>
      <c r="L688" s="155">
        <v>16.350000000000001</v>
      </c>
      <c r="M688" s="155">
        <v>16.350000000000001</v>
      </c>
      <c r="N688" s="196">
        <v>2</v>
      </c>
      <c r="P688" s="13" t="s">
        <v>268</v>
      </c>
      <c r="Q688" s="13" t="s">
        <v>457</v>
      </c>
      <c r="R688" s="13" t="s">
        <v>573</v>
      </c>
      <c r="S688" s="19" t="s">
        <v>360</v>
      </c>
      <c r="T688" s="18">
        <v>0</v>
      </c>
      <c r="U688" s="18"/>
      <c r="V688" s="18"/>
      <c r="W688" s="18">
        <f t="shared" si="14"/>
        <v>0</v>
      </c>
      <c r="X688" s="18"/>
      <c r="Y688" s="18"/>
      <c r="Z688" s="275"/>
    </row>
    <row r="689" spans="3:26">
      <c r="C689" s="48" t="s">
        <v>1222</v>
      </c>
      <c r="D689" s="48" t="s">
        <v>1222</v>
      </c>
      <c r="E689" s="18" t="s">
        <v>1217</v>
      </c>
      <c r="F689" s="526" t="s">
        <v>1218</v>
      </c>
      <c r="G689" s="283"/>
      <c r="H689" s="527" t="s">
        <v>538</v>
      </c>
      <c r="I689" s="555" t="s">
        <v>192</v>
      </c>
      <c r="J689" s="34" t="s">
        <v>245</v>
      </c>
      <c r="L689" s="155">
        <v>5.26</v>
      </c>
      <c r="M689" s="155">
        <v>5.26</v>
      </c>
      <c r="N689" s="213"/>
      <c r="P689" s="13" t="s">
        <v>572</v>
      </c>
      <c r="Q689" s="13" t="s">
        <v>572</v>
      </c>
      <c r="R689" s="13" t="s">
        <v>573</v>
      </c>
      <c r="S689" s="19" t="s">
        <v>100</v>
      </c>
      <c r="T689" s="18">
        <v>0</v>
      </c>
      <c r="U689" s="18"/>
      <c r="V689" s="18"/>
      <c r="W689" s="18">
        <f t="shared" si="14"/>
        <v>0</v>
      </c>
      <c r="X689" s="18"/>
      <c r="Y689" s="18"/>
      <c r="Z689" s="275"/>
    </row>
    <row r="690" spans="3:26">
      <c r="C690" s="48" t="s">
        <v>1222</v>
      </c>
      <c r="D690" s="48" t="s">
        <v>1222</v>
      </c>
      <c r="E690" s="18" t="s">
        <v>1217</v>
      </c>
      <c r="F690" s="526" t="s">
        <v>1218</v>
      </c>
      <c r="G690" s="283" t="s">
        <v>1859</v>
      </c>
      <c r="H690" s="527" t="s">
        <v>538</v>
      </c>
      <c r="I690" s="13" t="s">
        <v>1371</v>
      </c>
      <c r="J690" s="196" t="s">
        <v>1801</v>
      </c>
      <c r="K690" s="13" t="s">
        <v>1802</v>
      </c>
      <c r="L690" s="155">
        <v>16.350000000000001</v>
      </c>
      <c r="M690" s="155">
        <v>16.350000000000001</v>
      </c>
      <c r="N690" s="196">
        <v>2</v>
      </c>
      <c r="P690" s="13" t="s">
        <v>268</v>
      </c>
      <c r="Q690" s="13" t="s">
        <v>457</v>
      </c>
      <c r="R690" s="13" t="s">
        <v>573</v>
      </c>
      <c r="S690" s="19" t="s">
        <v>360</v>
      </c>
      <c r="T690" s="18">
        <v>0</v>
      </c>
      <c r="U690" s="18"/>
      <c r="V690" s="18"/>
      <c r="W690" s="18">
        <f t="shared" si="14"/>
        <v>0</v>
      </c>
      <c r="X690" s="18"/>
      <c r="Y690" s="18"/>
      <c r="Z690" s="275"/>
    </row>
    <row r="691" spans="3:26">
      <c r="C691" s="48" t="s">
        <v>1222</v>
      </c>
      <c r="D691" s="48" t="s">
        <v>1222</v>
      </c>
      <c r="E691" s="18" t="s">
        <v>1217</v>
      </c>
      <c r="F691" s="526" t="s">
        <v>1218</v>
      </c>
      <c r="G691" s="283" t="s">
        <v>1859</v>
      </c>
      <c r="H691" s="527" t="s">
        <v>538</v>
      </c>
      <c r="I691" s="13" t="s">
        <v>1371</v>
      </c>
      <c r="J691" s="196" t="s">
        <v>1803</v>
      </c>
      <c r="K691" s="13" t="s">
        <v>1804</v>
      </c>
      <c r="L691" s="155">
        <v>16.350000000000001</v>
      </c>
      <c r="M691" s="155">
        <v>16.350000000000001</v>
      </c>
      <c r="N691" s="196">
        <v>2</v>
      </c>
      <c r="P691" s="13" t="s">
        <v>268</v>
      </c>
      <c r="Q691" s="13" t="s">
        <v>457</v>
      </c>
      <c r="R691" s="13" t="s">
        <v>573</v>
      </c>
      <c r="S691" s="19" t="s">
        <v>360</v>
      </c>
      <c r="T691" s="18">
        <v>0</v>
      </c>
      <c r="U691" s="18"/>
      <c r="V691" s="18"/>
      <c r="W691" s="18">
        <f t="shared" si="14"/>
        <v>0</v>
      </c>
      <c r="X691" s="18"/>
      <c r="Y691" s="18"/>
      <c r="Z691" s="275"/>
    </row>
    <row r="692" spans="3:26">
      <c r="C692" s="48" t="s">
        <v>1222</v>
      </c>
      <c r="D692" s="48" t="s">
        <v>1222</v>
      </c>
      <c r="E692" s="18" t="s">
        <v>1217</v>
      </c>
      <c r="F692" s="526" t="s">
        <v>1218</v>
      </c>
      <c r="G692" s="283"/>
      <c r="H692" s="527" t="s">
        <v>538</v>
      </c>
      <c r="I692" s="555" t="s">
        <v>192</v>
      </c>
      <c r="J692" s="34" t="s">
        <v>245</v>
      </c>
      <c r="L692" s="155">
        <v>5.26</v>
      </c>
      <c r="M692" s="155">
        <v>5.26</v>
      </c>
      <c r="N692" s="213"/>
      <c r="P692" s="13" t="s">
        <v>572</v>
      </c>
      <c r="Q692" s="13" t="s">
        <v>572</v>
      </c>
      <c r="R692" s="13" t="s">
        <v>573</v>
      </c>
      <c r="S692" s="19" t="s">
        <v>100</v>
      </c>
      <c r="T692" s="18">
        <v>0</v>
      </c>
      <c r="U692" s="18"/>
      <c r="V692" s="18"/>
      <c r="W692" s="18">
        <f t="shared" si="14"/>
        <v>0</v>
      </c>
      <c r="X692" s="18"/>
      <c r="Y692" s="18"/>
      <c r="Z692" s="275"/>
    </row>
    <row r="693" spans="3:26">
      <c r="C693" s="48" t="s">
        <v>1222</v>
      </c>
      <c r="D693" s="48" t="s">
        <v>1222</v>
      </c>
      <c r="E693" s="18" t="s">
        <v>1217</v>
      </c>
      <c r="F693" s="526" t="s">
        <v>1218</v>
      </c>
      <c r="G693" s="283"/>
      <c r="H693" s="527" t="s">
        <v>538</v>
      </c>
      <c r="I693" s="13" t="s">
        <v>1371</v>
      </c>
      <c r="J693" s="196" t="s">
        <v>1805</v>
      </c>
      <c r="K693" s="13" t="s">
        <v>1806</v>
      </c>
      <c r="L693" s="155">
        <v>16.350000000000001</v>
      </c>
      <c r="M693" s="155">
        <v>16.350000000000001</v>
      </c>
      <c r="N693" s="196">
        <v>2</v>
      </c>
      <c r="P693" s="13" t="s">
        <v>268</v>
      </c>
      <c r="Q693" s="13" t="s">
        <v>457</v>
      </c>
      <c r="R693" s="13" t="s">
        <v>573</v>
      </c>
      <c r="S693" s="19" t="s">
        <v>360</v>
      </c>
      <c r="T693" s="18">
        <v>0</v>
      </c>
      <c r="U693" s="18"/>
      <c r="V693" s="18"/>
      <c r="W693" s="18">
        <f t="shared" si="14"/>
        <v>0</v>
      </c>
      <c r="X693" s="18"/>
      <c r="Y693" s="18"/>
      <c r="Z693" s="275"/>
    </row>
    <row r="694" spans="3:26">
      <c r="C694" s="48" t="s">
        <v>1222</v>
      </c>
      <c r="D694" s="48" t="s">
        <v>1222</v>
      </c>
      <c r="E694" s="18" t="s">
        <v>1217</v>
      </c>
      <c r="F694" s="526" t="s">
        <v>1218</v>
      </c>
      <c r="G694" s="283"/>
      <c r="H694" s="527" t="s">
        <v>538</v>
      </c>
      <c r="I694" s="13" t="s">
        <v>1371</v>
      </c>
      <c r="J694" s="196" t="s">
        <v>1807</v>
      </c>
      <c r="K694" s="13" t="s">
        <v>1808</v>
      </c>
      <c r="L694" s="155">
        <v>16.350000000000001</v>
      </c>
      <c r="M694" s="155">
        <v>16.350000000000001</v>
      </c>
      <c r="N694" s="196">
        <v>2</v>
      </c>
      <c r="P694" s="13" t="s">
        <v>268</v>
      </c>
      <c r="Q694" s="13" t="s">
        <v>457</v>
      </c>
      <c r="R694" s="13" t="s">
        <v>573</v>
      </c>
      <c r="S694" s="19" t="s">
        <v>360</v>
      </c>
      <c r="T694" s="18">
        <v>0</v>
      </c>
      <c r="U694" s="18"/>
      <c r="V694" s="18"/>
      <c r="W694" s="18">
        <f t="shared" si="14"/>
        <v>0</v>
      </c>
      <c r="X694" s="18"/>
      <c r="Y694" s="18"/>
      <c r="Z694" s="275"/>
    </row>
    <row r="695" spans="3:26">
      <c r="C695" s="48" t="s">
        <v>1222</v>
      </c>
      <c r="D695" s="48" t="s">
        <v>1222</v>
      </c>
      <c r="E695" s="18" t="s">
        <v>1217</v>
      </c>
      <c r="F695" s="526" t="s">
        <v>1218</v>
      </c>
      <c r="G695" s="283"/>
      <c r="H695" s="527" t="s">
        <v>538</v>
      </c>
      <c r="I695" s="555" t="s">
        <v>192</v>
      </c>
      <c r="J695" s="34" t="s">
        <v>245</v>
      </c>
      <c r="L695" s="155">
        <v>5.26</v>
      </c>
      <c r="M695" s="155">
        <v>5.26</v>
      </c>
      <c r="N695" s="213"/>
      <c r="P695" s="13" t="s">
        <v>572</v>
      </c>
      <c r="Q695" s="13" t="s">
        <v>572</v>
      </c>
      <c r="R695" s="13" t="s">
        <v>573</v>
      </c>
      <c r="S695" s="19" t="s">
        <v>100</v>
      </c>
      <c r="T695" s="18">
        <v>0</v>
      </c>
      <c r="U695" s="18"/>
      <c r="V695" s="18"/>
      <c r="W695" s="18">
        <f t="shared" si="14"/>
        <v>0</v>
      </c>
      <c r="X695" s="18"/>
      <c r="Y695" s="18"/>
      <c r="Z695" s="275"/>
    </row>
    <row r="696" spans="3:26">
      <c r="C696" s="48" t="s">
        <v>1222</v>
      </c>
      <c r="D696" s="48" t="s">
        <v>1222</v>
      </c>
      <c r="E696" s="18" t="s">
        <v>1217</v>
      </c>
      <c r="F696" s="526" t="s">
        <v>1218</v>
      </c>
      <c r="G696" s="283"/>
      <c r="H696" s="527" t="s">
        <v>538</v>
      </c>
      <c r="I696" s="13" t="s">
        <v>1371</v>
      </c>
      <c r="J696" s="196" t="s">
        <v>1807</v>
      </c>
      <c r="K696" s="13" t="s">
        <v>1808</v>
      </c>
      <c r="L696" s="155">
        <v>16.350000000000001</v>
      </c>
      <c r="M696" s="155">
        <v>16.350000000000001</v>
      </c>
      <c r="N696" s="196">
        <v>2</v>
      </c>
      <c r="P696" s="13" t="s">
        <v>268</v>
      </c>
      <c r="Q696" s="13" t="s">
        <v>457</v>
      </c>
      <c r="R696" s="13" t="s">
        <v>573</v>
      </c>
      <c r="S696" s="19" t="s">
        <v>360</v>
      </c>
      <c r="T696" s="18">
        <v>0</v>
      </c>
      <c r="U696" s="18"/>
      <c r="V696" s="18"/>
      <c r="W696" s="18">
        <f t="shared" si="14"/>
        <v>0</v>
      </c>
      <c r="X696" s="18"/>
      <c r="Y696" s="18"/>
      <c r="Z696" s="275"/>
    </row>
    <row r="697" spans="3:26">
      <c r="C697" s="48" t="s">
        <v>1222</v>
      </c>
      <c r="D697" s="48" t="s">
        <v>1222</v>
      </c>
      <c r="E697" s="18" t="s">
        <v>1217</v>
      </c>
      <c r="F697" s="526" t="s">
        <v>1218</v>
      </c>
      <c r="G697" s="283"/>
      <c r="H697" s="527" t="s">
        <v>538</v>
      </c>
      <c r="I697" s="13" t="s">
        <v>1371</v>
      </c>
      <c r="J697" s="196" t="s">
        <v>1805</v>
      </c>
      <c r="K697" s="13" t="s">
        <v>1809</v>
      </c>
      <c r="L697" s="155">
        <v>16.350000000000001</v>
      </c>
      <c r="M697" s="155">
        <v>16.350000000000001</v>
      </c>
      <c r="N697" s="196">
        <v>2</v>
      </c>
      <c r="P697" s="13" t="s">
        <v>268</v>
      </c>
      <c r="Q697" s="13" t="s">
        <v>457</v>
      </c>
      <c r="R697" s="13" t="s">
        <v>573</v>
      </c>
      <c r="S697" s="19" t="s">
        <v>360</v>
      </c>
      <c r="T697" s="18">
        <v>0</v>
      </c>
      <c r="U697" s="18"/>
      <c r="V697" s="18"/>
      <c r="W697" s="18">
        <f t="shared" si="14"/>
        <v>0</v>
      </c>
      <c r="X697" s="18"/>
      <c r="Y697" s="18"/>
      <c r="Z697" s="275"/>
    </row>
    <row r="698" spans="3:26">
      <c r="C698" s="48" t="s">
        <v>1222</v>
      </c>
      <c r="D698" s="48" t="s">
        <v>1222</v>
      </c>
      <c r="E698" s="18" t="s">
        <v>1217</v>
      </c>
      <c r="F698" s="526" t="s">
        <v>1218</v>
      </c>
      <c r="G698" s="283"/>
      <c r="H698" s="527" t="s">
        <v>538</v>
      </c>
      <c r="I698" s="555" t="s">
        <v>192</v>
      </c>
      <c r="J698" s="34" t="s">
        <v>245</v>
      </c>
      <c r="L698" s="155">
        <v>5.26</v>
      </c>
      <c r="M698" s="155">
        <v>5.26</v>
      </c>
      <c r="N698" s="213"/>
      <c r="P698" s="13" t="s">
        <v>572</v>
      </c>
      <c r="Q698" s="13" t="s">
        <v>572</v>
      </c>
      <c r="R698" s="13" t="s">
        <v>573</v>
      </c>
      <c r="S698" s="19" t="s">
        <v>100</v>
      </c>
      <c r="T698" s="18">
        <v>0</v>
      </c>
      <c r="U698" s="18"/>
      <c r="V698" s="18"/>
      <c r="W698" s="18">
        <f t="shared" si="14"/>
        <v>0</v>
      </c>
      <c r="X698" s="18"/>
      <c r="Y698" s="18"/>
      <c r="Z698" s="275"/>
    </row>
    <row r="699" spans="3:26">
      <c r="C699" s="48" t="s">
        <v>1222</v>
      </c>
      <c r="D699" s="48" t="s">
        <v>1222</v>
      </c>
      <c r="E699" s="18" t="s">
        <v>1217</v>
      </c>
      <c r="F699" s="526" t="s">
        <v>1218</v>
      </c>
      <c r="G699" s="283"/>
      <c r="H699" s="527" t="s">
        <v>538</v>
      </c>
      <c r="I699" s="13" t="s">
        <v>1371</v>
      </c>
      <c r="J699" s="196" t="s">
        <v>1805</v>
      </c>
      <c r="K699" s="13" t="s">
        <v>1810</v>
      </c>
      <c r="L699" s="155">
        <v>16.350000000000001</v>
      </c>
      <c r="M699" s="155">
        <v>16.350000000000001</v>
      </c>
      <c r="N699" s="196">
        <v>2</v>
      </c>
      <c r="P699" s="13" t="s">
        <v>268</v>
      </c>
      <c r="Q699" s="13" t="s">
        <v>457</v>
      </c>
      <c r="R699" s="13" t="s">
        <v>573</v>
      </c>
      <c r="S699" s="19" t="s">
        <v>360</v>
      </c>
      <c r="T699" s="18">
        <v>0</v>
      </c>
      <c r="U699" s="18"/>
      <c r="V699" s="18"/>
      <c r="W699" s="18">
        <f t="shared" si="14"/>
        <v>0</v>
      </c>
      <c r="X699" s="18"/>
      <c r="Y699" s="18"/>
      <c r="Z699" s="275"/>
    </row>
    <row r="700" spans="3:26">
      <c r="C700" s="48" t="s">
        <v>1222</v>
      </c>
      <c r="D700" s="48" t="s">
        <v>1222</v>
      </c>
      <c r="E700" s="18" t="s">
        <v>1217</v>
      </c>
      <c r="F700" s="526" t="s">
        <v>1218</v>
      </c>
      <c r="G700" s="283"/>
      <c r="H700" s="527" t="s">
        <v>539</v>
      </c>
      <c r="I700" s="557" t="s">
        <v>194</v>
      </c>
      <c r="J700" s="34" t="s">
        <v>525</v>
      </c>
      <c r="L700" s="155">
        <v>91.14</v>
      </c>
      <c r="M700" s="155">
        <v>91.14</v>
      </c>
      <c r="P700" s="13" t="s">
        <v>268</v>
      </c>
      <c r="Q700" s="13" t="s">
        <v>269</v>
      </c>
      <c r="R700" s="13" t="s">
        <v>573</v>
      </c>
      <c r="S700" s="18" t="s">
        <v>360</v>
      </c>
      <c r="T700" s="18">
        <v>0</v>
      </c>
      <c r="U700" s="18"/>
      <c r="V700" s="18"/>
      <c r="W700" s="18">
        <f t="shared" ref="W700:W761" si="15">AVERAGE(T700:V700)</f>
        <v>0</v>
      </c>
      <c r="X700" s="18"/>
      <c r="Y700" s="18"/>
      <c r="Z700" s="275"/>
    </row>
    <row r="701" spans="3:26">
      <c r="C701" s="48" t="s">
        <v>1222</v>
      </c>
      <c r="D701" s="48" t="s">
        <v>1222</v>
      </c>
      <c r="E701" s="18" t="s">
        <v>1217</v>
      </c>
      <c r="F701" s="526" t="s">
        <v>1218</v>
      </c>
      <c r="G701" s="283"/>
      <c r="H701" s="527" t="s">
        <v>539</v>
      </c>
      <c r="I701" s="557" t="s">
        <v>194</v>
      </c>
      <c r="J701" s="34" t="s">
        <v>526</v>
      </c>
      <c r="L701" s="155">
        <v>45.95</v>
      </c>
      <c r="M701" s="155">
        <v>45.95</v>
      </c>
      <c r="P701" s="13" t="s">
        <v>268</v>
      </c>
      <c r="Q701" s="13" t="s">
        <v>269</v>
      </c>
      <c r="R701" s="13" t="s">
        <v>573</v>
      </c>
      <c r="S701" s="18" t="s">
        <v>360</v>
      </c>
      <c r="T701" s="18">
        <v>0</v>
      </c>
      <c r="U701" s="18"/>
      <c r="V701" s="18"/>
      <c r="W701" s="18">
        <f t="shared" si="15"/>
        <v>0</v>
      </c>
      <c r="X701" s="18"/>
      <c r="Y701" s="18"/>
      <c r="Z701" s="275"/>
    </row>
    <row r="702" spans="3:26">
      <c r="C702" s="48" t="s">
        <v>1222</v>
      </c>
      <c r="D702" s="48" t="s">
        <v>1222</v>
      </c>
      <c r="E702" s="18" t="s">
        <v>1217</v>
      </c>
      <c r="F702" s="526" t="s">
        <v>1218</v>
      </c>
      <c r="G702" s="283"/>
      <c r="H702" s="527" t="s">
        <v>539</v>
      </c>
      <c r="I702" s="557" t="s">
        <v>194</v>
      </c>
      <c r="J702" s="34" t="s">
        <v>527</v>
      </c>
      <c r="L702" s="155">
        <v>45.95</v>
      </c>
      <c r="M702" s="155">
        <v>45.95</v>
      </c>
      <c r="P702" s="13" t="s">
        <v>268</v>
      </c>
      <c r="Q702" s="13" t="s">
        <v>269</v>
      </c>
      <c r="R702" s="13" t="s">
        <v>573</v>
      </c>
      <c r="S702" s="18" t="s">
        <v>360</v>
      </c>
      <c r="T702" s="18">
        <v>0</v>
      </c>
      <c r="U702" s="18"/>
      <c r="V702" s="18"/>
      <c r="W702" s="18">
        <f t="shared" si="15"/>
        <v>0</v>
      </c>
      <c r="X702" s="18"/>
      <c r="Y702" s="18"/>
      <c r="Z702" s="275"/>
    </row>
    <row r="703" spans="3:26">
      <c r="C703" s="48" t="s">
        <v>1222</v>
      </c>
      <c r="D703" s="48" t="s">
        <v>1222</v>
      </c>
      <c r="E703" s="18" t="s">
        <v>1217</v>
      </c>
      <c r="F703" s="526" t="s">
        <v>1218</v>
      </c>
      <c r="G703" s="283"/>
      <c r="H703" s="527" t="s">
        <v>539</v>
      </c>
      <c r="I703" s="555" t="s">
        <v>355</v>
      </c>
      <c r="J703" s="34" t="s">
        <v>535</v>
      </c>
      <c r="L703" s="155">
        <v>17.420000000000002</v>
      </c>
      <c r="M703" s="155">
        <v>17.420000000000002</v>
      </c>
      <c r="P703" s="13" t="s">
        <v>268</v>
      </c>
      <c r="Q703" s="13" t="s">
        <v>457</v>
      </c>
      <c r="R703" s="13" t="s">
        <v>573</v>
      </c>
      <c r="S703" s="18" t="s">
        <v>360</v>
      </c>
      <c r="T703" s="18">
        <v>0</v>
      </c>
      <c r="U703" s="18"/>
      <c r="V703" s="18"/>
      <c r="W703" s="18">
        <f t="shared" si="15"/>
        <v>0</v>
      </c>
      <c r="X703" s="18"/>
      <c r="Y703" s="18"/>
      <c r="Z703" s="275"/>
    </row>
    <row r="704" spans="3:26">
      <c r="C704" s="48" t="s">
        <v>1222</v>
      </c>
      <c r="D704" s="48" t="s">
        <v>1222</v>
      </c>
      <c r="E704" s="18" t="s">
        <v>1217</v>
      </c>
      <c r="F704" s="526" t="s">
        <v>1218</v>
      </c>
      <c r="G704" s="283"/>
      <c r="H704" s="527" t="s">
        <v>539</v>
      </c>
      <c r="I704" s="555" t="s">
        <v>27</v>
      </c>
      <c r="J704" s="34" t="s">
        <v>1398</v>
      </c>
      <c r="L704" s="155">
        <v>4.22</v>
      </c>
      <c r="M704" s="155">
        <v>4.22</v>
      </c>
      <c r="P704" s="13" t="s">
        <v>572</v>
      </c>
      <c r="Q704" s="13" t="s">
        <v>457</v>
      </c>
      <c r="R704" s="13" t="s">
        <v>573</v>
      </c>
      <c r="S704" s="18" t="s">
        <v>360</v>
      </c>
      <c r="T704" s="18">
        <v>0</v>
      </c>
      <c r="U704" s="18"/>
      <c r="V704" s="18"/>
      <c r="W704" s="18">
        <f t="shared" si="15"/>
        <v>0</v>
      </c>
      <c r="X704" s="18"/>
      <c r="Y704" s="18"/>
      <c r="Z704" s="275"/>
    </row>
    <row r="705" spans="3:26">
      <c r="C705" s="48" t="s">
        <v>1222</v>
      </c>
      <c r="D705" s="48" t="s">
        <v>1222</v>
      </c>
      <c r="E705" s="18" t="s">
        <v>1217</v>
      </c>
      <c r="F705" s="526" t="s">
        <v>1218</v>
      </c>
      <c r="G705" s="283"/>
      <c r="H705" s="527" t="s">
        <v>539</v>
      </c>
      <c r="I705" s="13" t="s">
        <v>192</v>
      </c>
      <c r="J705" s="34" t="s">
        <v>369</v>
      </c>
      <c r="L705" s="155">
        <v>2.4900000000000002</v>
      </c>
      <c r="M705" s="155">
        <v>2.4900000000000002</v>
      </c>
      <c r="P705" s="13" t="s">
        <v>572</v>
      </c>
      <c r="Q705" s="13" t="s">
        <v>572</v>
      </c>
      <c r="R705" s="13" t="s">
        <v>573</v>
      </c>
      <c r="S705" s="18" t="s">
        <v>100</v>
      </c>
      <c r="T705" s="18">
        <v>0</v>
      </c>
      <c r="U705" s="18"/>
      <c r="V705" s="18"/>
      <c r="W705" s="18">
        <f t="shared" si="15"/>
        <v>0</v>
      </c>
      <c r="X705" s="18"/>
      <c r="Y705" s="18"/>
      <c r="Z705" s="275"/>
    </row>
    <row r="706" spans="3:26">
      <c r="C706" s="48" t="s">
        <v>1222</v>
      </c>
      <c r="D706" s="48" t="s">
        <v>1222</v>
      </c>
      <c r="E706" s="18" t="s">
        <v>1217</v>
      </c>
      <c r="F706" s="526" t="s">
        <v>1218</v>
      </c>
      <c r="G706" s="283" t="s">
        <v>1860</v>
      </c>
      <c r="H706" s="527" t="s">
        <v>539</v>
      </c>
      <c r="I706" s="13" t="s">
        <v>1371</v>
      </c>
      <c r="J706" s="34" t="s">
        <v>1437</v>
      </c>
      <c r="L706" s="32">
        <v>16.350000000000001</v>
      </c>
      <c r="M706" s="32">
        <v>16.350000000000001</v>
      </c>
      <c r="N706" s="196">
        <v>2</v>
      </c>
      <c r="P706" s="13" t="s">
        <v>268</v>
      </c>
      <c r="Q706" s="13" t="s">
        <v>268</v>
      </c>
      <c r="R706" s="13" t="s">
        <v>573</v>
      </c>
      <c r="S706" s="19" t="s">
        <v>360</v>
      </c>
      <c r="T706" s="18">
        <v>0</v>
      </c>
      <c r="U706" s="18"/>
      <c r="V706" s="18"/>
      <c r="W706" s="18">
        <f t="shared" si="15"/>
        <v>0</v>
      </c>
      <c r="X706" s="18"/>
      <c r="Y706" s="18"/>
      <c r="Z706" s="275"/>
    </row>
    <row r="707" spans="3:26">
      <c r="C707" s="48" t="s">
        <v>1222</v>
      </c>
      <c r="D707" s="48" t="s">
        <v>1222</v>
      </c>
      <c r="E707" s="18" t="s">
        <v>1217</v>
      </c>
      <c r="F707" s="526" t="s">
        <v>1218</v>
      </c>
      <c r="G707" s="283" t="s">
        <v>1860</v>
      </c>
      <c r="H707" s="527" t="s">
        <v>539</v>
      </c>
      <c r="I707" s="13" t="s">
        <v>1371</v>
      </c>
      <c r="J707" s="34" t="s">
        <v>1437</v>
      </c>
      <c r="L707" s="32">
        <v>16.350000000000001</v>
      </c>
      <c r="M707" s="32">
        <v>16.350000000000001</v>
      </c>
      <c r="N707" s="196">
        <v>2</v>
      </c>
      <c r="P707" s="13" t="s">
        <v>268</v>
      </c>
      <c r="Q707" s="13" t="s">
        <v>268</v>
      </c>
      <c r="R707" s="13" t="s">
        <v>573</v>
      </c>
      <c r="S707" s="19" t="s">
        <v>360</v>
      </c>
      <c r="T707" s="18">
        <v>0</v>
      </c>
      <c r="U707" s="18"/>
      <c r="V707" s="18"/>
      <c r="W707" s="18">
        <f t="shared" si="15"/>
        <v>0</v>
      </c>
      <c r="X707" s="18"/>
      <c r="Y707" s="18"/>
      <c r="Z707" s="275"/>
    </row>
    <row r="708" spans="3:26">
      <c r="C708" s="48" t="s">
        <v>1222</v>
      </c>
      <c r="D708" s="48" t="s">
        <v>1222</v>
      </c>
      <c r="E708" s="18" t="s">
        <v>1217</v>
      </c>
      <c r="F708" s="526" t="s">
        <v>1218</v>
      </c>
      <c r="G708" s="283" t="s">
        <v>1860</v>
      </c>
      <c r="H708" s="527" t="s">
        <v>539</v>
      </c>
      <c r="I708" s="555" t="s">
        <v>192</v>
      </c>
      <c r="J708" s="34" t="s">
        <v>1437</v>
      </c>
      <c r="L708" s="32">
        <v>5.26</v>
      </c>
      <c r="M708" s="32">
        <v>5.26</v>
      </c>
      <c r="N708" s="213"/>
      <c r="P708" s="13" t="s">
        <v>572</v>
      </c>
      <c r="Q708" s="13" t="s">
        <v>572</v>
      </c>
      <c r="R708" s="13" t="s">
        <v>573</v>
      </c>
      <c r="S708" s="19" t="s">
        <v>100</v>
      </c>
      <c r="T708" s="18">
        <v>0</v>
      </c>
      <c r="U708" s="18"/>
      <c r="V708" s="18"/>
      <c r="W708" s="18">
        <f t="shared" si="15"/>
        <v>0</v>
      </c>
      <c r="X708" s="18"/>
      <c r="Y708" s="18"/>
      <c r="Z708" s="275"/>
    </row>
    <row r="709" spans="3:26">
      <c r="C709" s="48" t="s">
        <v>1222</v>
      </c>
      <c r="D709" s="48" t="s">
        <v>1222</v>
      </c>
      <c r="E709" s="18" t="s">
        <v>1217</v>
      </c>
      <c r="F709" s="526" t="s">
        <v>1218</v>
      </c>
      <c r="G709" s="283" t="s">
        <v>1860</v>
      </c>
      <c r="H709" s="527" t="s">
        <v>539</v>
      </c>
      <c r="I709" s="13" t="s">
        <v>1371</v>
      </c>
      <c r="J709" s="34" t="s">
        <v>1437</v>
      </c>
      <c r="L709" s="32">
        <v>16.350000000000001</v>
      </c>
      <c r="M709" s="32">
        <v>16.350000000000001</v>
      </c>
      <c r="N709" s="196">
        <v>2</v>
      </c>
      <c r="P709" s="13" t="s">
        <v>268</v>
      </c>
      <c r="Q709" s="13" t="s">
        <v>457</v>
      </c>
      <c r="R709" s="13" t="s">
        <v>573</v>
      </c>
      <c r="S709" s="19" t="s">
        <v>360</v>
      </c>
      <c r="T709" s="18">
        <v>0</v>
      </c>
      <c r="U709" s="18"/>
      <c r="V709" s="18"/>
      <c r="W709" s="18">
        <f t="shared" si="15"/>
        <v>0</v>
      </c>
      <c r="X709" s="18"/>
      <c r="Y709" s="18"/>
      <c r="Z709" s="275"/>
    </row>
    <row r="710" spans="3:26">
      <c r="C710" s="48" t="s">
        <v>1222</v>
      </c>
      <c r="D710" s="48" t="s">
        <v>1222</v>
      </c>
      <c r="E710" s="18" t="s">
        <v>1217</v>
      </c>
      <c r="F710" s="526" t="s">
        <v>1218</v>
      </c>
      <c r="G710" s="283" t="s">
        <v>1860</v>
      </c>
      <c r="H710" s="527" t="s">
        <v>539</v>
      </c>
      <c r="I710" s="13" t="s">
        <v>1371</v>
      </c>
      <c r="J710" s="34" t="s">
        <v>1437</v>
      </c>
      <c r="L710" s="32">
        <v>16.350000000000001</v>
      </c>
      <c r="M710" s="32">
        <v>16.350000000000001</v>
      </c>
      <c r="N710" s="196">
        <v>2</v>
      </c>
      <c r="P710" s="13" t="s">
        <v>268</v>
      </c>
      <c r="Q710" s="13" t="s">
        <v>457</v>
      </c>
      <c r="R710" s="13" t="s">
        <v>573</v>
      </c>
      <c r="S710" s="19" t="s">
        <v>360</v>
      </c>
      <c r="T710" s="18">
        <v>0</v>
      </c>
      <c r="U710" s="18"/>
      <c r="V710" s="18"/>
      <c r="W710" s="18">
        <f t="shared" si="15"/>
        <v>0</v>
      </c>
      <c r="X710" s="18"/>
      <c r="Y710" s="18"/>
      <c r="Z710" s="275"/>
    </row>
    <row r="711" spans="3:26">
      <c r="C711" s="48" t="s">
        <v>1222</v>
      </c>
      <c r="D711" s="48" t="s">
        <v>1222</v>
      </c>
      <c r="E711" s="18" t="s">
        <v>1217</v>
      </c>
      <c r="F711" s="526" t="s">
        <v>1218</v>
      </c>
      <c r="G711" s="283" t="s">
        <v>1860</v>
      </c>
      <c r="H711" s="527" t="s">
        <v>539</v>
      </c>
      <c r="I711" s="555" t="s">
        <v>192</v>
      </c>
      <c r="J711" s="34" t="s">
        <v>1437</v>
      </c>
      <c r="L711" s="32">
        <v>5.26</v>
      </c>
      <c r="M711" s="32">
        <v>5.26</v>
      </c>
      <c r="N711" s="213"/>
      <c r="P711" s="13" t="s">
        <v>572</v>
      </c>
      <c r="Q711" s="13" t="s">
        <v>572</v>
      </c>
      <c r="R711" s="13" t="s">
        <v>573</v>
      </c>
      <c r="S711" s="19" t="s">
        <v>100</v>
      </c>
      <c r="T711" s="18">
        <v>0</v>
      </c>
      <c r="U711" s="18"/>
      <c r="V711" s="18"/>
      <c r="W711" s="18">
        <f t="shared" si="15"/>
        <v>0</v>
      </c>
      <c r="X711" s="18"/>
      <c r="Y711" s="18"/>
      <c r="Z711" s="275"/>
    </row>
    <row r="712" spans="3:26">
      <c r="C712" s="48" t="s">
        <v>1222</v>
      </c>
      <c r="D712" s="48" t="s">
        <v>1222</v>
      </c>
      <c r="E712" s="18" t="s">
        <v>1217</v>
      </c>
      <c r="F712" s="526" t="s">
        <v>1218</v>
      </c>
      <c r="G712" s="283" t="s">
        <v>1860</v>
      </c>
      <c r="H712" s="527" t="s">
        <v>539</v>
      </c>
      <c r="I712" s="13" t="s">
        <v>1371</v>
      </c>
      <c r="J712" s="34" t="s">
        <v>1437</v>
      </c>
      <c r="L712" s="32">
        <v>16.350000000000001</v>
      </c>
      <c r="M712" s="32">
        <v>16.350000000000001</v>
      </c>
      <c r="N712" s="196">
        <v>2</v>
      </c>
      <c r="P712" s="13" t="s">
        <v>268</v>
      </c>
      <c r="Q712" s="13" t="s">
        <v>457</v>
      </c>
      <c r="R712" s="13" t="s">
        <v>573</v>
      </c>
      <c r="S712" s="19" t="s">
        <v>360</v>
      </c>
      <c r="T712" s="18">
        <v>0</v>
      </c>
      <c r="U712" s="18"/>
      <c r="V712" s="18"/>
      <c r="W712" s="18">
        <f t="shared" si="15"/>
        <v>0</v>
      </c>
      <c r="X712" s="18"/>
      <c r="Y712" s="18"/>
      <c r="Z712" s="275"/>
    </row>
    <row r="713" spans="3:26">
      <c r="C713" s="48" t="s">
        <v>1222</v>
      </c>
      <c r="D713" s="48" t="s">
        <v>1222</v>
      </c>
      <c r="E713" s="18" t="s">
        <v>1217</v>
      </c>
      <c r="F713" s="526" t="s">
        <v>1218</v>
      </c>
      <c r="G713" s="283" t="s">
        <v>1860</v>
      </c>
      <c r="H713" s="527" t="s">
        <v>539</v>
      </c>
      <c r="I713" s="13" t="s">
        <v>1371</v>
      </c>
      <c r="J713" s="34" t="s">
        <v>1437</v>
      </c>
      <c r="L713" s="32">
        <v>16.350000000000001</v>
      </c>
      <c r="M713" s="32">
        <v>16.350000000000001</v>
      </c>
      <c r="N713" s="196">
        <v>2</v>
      </c>
      <c r="P713" s="13" t="s">
        <v>268</v>
      </c>
      <c r="Q713" s="13" t="s">
        <v>457</v>
      </c>
      <c r="R713" s="13" t="s">
        <v>573</v>
      </c>
      <c r="S713" s="19" t="s">
        <v>360</v>
      </c>
      <c r="T713" s="18">
        <v>0</v>
      </c>
      <c r="U713" s="18"/>
      <c r="V713" s="18"/>
      <c r="W713" s="18">
        <f t="shared" si="15"/>
        <v>0</v>
      </c>
      <c r="X713" s="18"/>
      <c r="Y713" s="18"/>
      <c r="Z713" s="275"/>
    </row>
    <row r="714" spans="3:26">
      <c r="C714" s="48" t="s">
        <v>1222</v>
      </c>
      <c r="D714" s="48" t="s">
        <v>1222</v>
      </c>
      <c r="E714" s="18" t="s">
        <v>1217</v>
      </c>
      <c r="F714" s="526" t="s">
        <v>1218</v>
      </c>
      <c r="G714" s="283" t="s">
        <v>1860</v>
      </c>
      <c r="H714" s="527" t="s">
        <v>539</v>
      </c>
      <c r="I714" s="555" t="s">
        <v>192</v>
      </c>
      <c r="J714" s="34" t="s">
        <v>1437</v>
      </c>
      <c r="L714" s="32">
        <v>5.26</v>
      </c>
      <c r="M714" s="32">
        <v>5.26</v>
      </c>
      <c r="N714" s="213"/>
      <c r="P714" s="13" t="s">
        <v>572</v>
      </c>
      <c r="Q714" s="13" t="s">
        <v>572</v>
      </c>
      <c r="R714" s="13" t="s">
        <v>573</v>
      </c>
      <c r="S714" s="19" t="s">
        <v>100</v>
      </c>
      <c r="T714" s="18">
        <v>0</v>
      </c>
      <c r="U714" s="18"/>
      <c r="V714" s="18"/>
      <c r="W714" s="18">
        <f t="shared" si="15"/>
        <v>0</v>
      </c>
      <c r="X714" s="18"/>
      <c r="Y714" s="18"/>
      <c r="Z714" s="275"/>
    </row>
    <row r="715" spans="3:26">
      <c r="C715" s="48" t="s">
        <v>1222</v>
      </c>
      <c r="D715" s="48" t="s">
        <v>1222</v>
      </c>
      <c r="E715" s="18" t="s">
        <v>1217</v>
      </c>
      <c r="F715" s="526" t="s">
        <v>1218</v>
      </c>
      <c r="G715" s="283" t="s">
        <v>1860</v>
      </c>
      <c r="H715" s="527" t="s">
        <v>539</v>
      </c>
      <c r="I715" s="13" t="s">
        <v>1371</v>
      </c>
      <c r="J715" s="34" t="s">
        <v>1437</v>
      </c>
      <c r="L715" s="32">
        <v>16.350000000000001</v>
      </c>
      <c r="M715" s="32">
        <v>16.350000000000001</v>
      </c>
      <c r="N715" s="196">
        <v>2</v>
      </c>
      <c r="P715" s="13" t="s">
        <v>268</v>
      </c>
      <c r="Q715" s="13" t="s">
        <v>457</v>
      </c>
      <c r="R715" s="13" t="s">
        <v>573</v>
      </c>
      <c r="S715" s="19" t="s">
        <v>360</v>
      </c>
      <c r="T715" s="18">
        <v>0</v>
      </c>
      <c r="U715" s="18"/>
      <c r="V715" s="18"/>
      <c r="W715" s="18">
        <f t="shared" si="15"/>
        <v>0</v>
      </c>
      <c r="X715" s="18"/>
      <c r="Y715" s="18"/>
      <c r="Z715" s="275"/>
    </row>
    <row r="716" spans="3:26">
      <c r="C716" s="48" t="s">
        <v>1222</v>
      </c>
      <c r="D716" s="48" t="s">
        <v>1222</v>
      </c>
      <c r="E716" s="18" t="s">
        <v>1217</v>
      </c>
      <c r="F716" s="526" t="s">
        <v>1218</v>
      </c>
      <c r="G716" s="283" t="s">
        <v>1860</v>
      </c>
      <c r="H716" s="527" t="s">
        <v>539</v>
      </c>
      <c r="I716" s="13" t="s">
        <v>1371</v>
      </c>
      <c r="J716" s="34" t="s">
        <v>1437</v>
      </c>
      <c r="L716" s="32">
        <v>16.350000000000001</v>
      </c>
      <c r="M716" s="32">
        <v>16.350000000000001</v>
      </c>
      <c r="N716" s="196">
        <v>2</v>
      </c>
      <c r="P716" s="13" t="s">
        <v>268</v>
      </c>
      <c r="Q716" s="13" t="s">
        <v>457</v>
      </c>
      <c r="R716" s="13" t="s">
        <v>573</v>
      </c>
      <c r="S716" s="19" t="s">
        <v>360</v>
      </c>
      <c r="T716" s="18">
        <v>0</v>
      </c>
      <c r="U716" s="18"/>
      <c r="V716" s="18"/>
      <c r="W716" s="18">
        <f t="shared" si="15"/>
        <v>0</v>
      </c>
      <c r="X716" s="18"/>
      <c r="Y716" s="18"/>
      <c r="Z716" s="275"/>
    </row>
    <row r="717" spans="3:26">
      <c r="C717" s="48" t="s">
        <v>1222</v>
      </c>
      <c r="D717" s="48" t="s">
        <v>1222</v>
      </c>
      <c r="E717" s="18" t="s">
        <v>1217</v>
      </c>
      <c r="F717" s="526" t="s">
        <v>1218</v>
      </c>
      <c r="G717" s="283" t="s">
        <v>1860</v>
      </c>
      <c r="H717" s="527" t="s">
        <v>539</v>
      </c>
      <c r="I717" s="555" t="s">
        <v>192</v>
      </c>
      <c r="J717" s="34" t="s">
        <v>1437</v>
      </c>
      <c r="L717" s="32">
        <v>5.26</v>
      </c>
      <c r="M717" s="32">
        <v>5.26</v>
      </c>
      <c r="N717" s="213"/>
      <c r="P717" s="13" t="s">
        <v>572</v>
      </c>
      <c r="Q717" s="13" t="s">
        <v>572</v>
      </c>
      <c r="R717" s="13" t="s">
        <v>573</v>
      </c>
      <c r="S717" s="19" t="s">
        <v>100</v>
      </c>
      <c r="T717" s="18">
        <v>0</v>
      </c>
      <c r="U717" s="18"/>
      <c r="V717" s="18"/>
      <c r="W717" s="18">
        <f t="shared" si="15"/>
        <v>0</v>
      </c>
      <c r="X717" s="18"/>
      <c r="Y717" s="18"/>
      <c r="Z717" s="275"/>
    </row>
    <row r="718" spans="3:26">
      <c r="C718" s="48" t="s">
        <v>1222</v>
      </c>
      <c r="D718" s="48" t="s">
        <v>1222</v>
      </c>
      <c r="E718" s="18" t="s">
        <v>1217</v>
      </c>
      <c r="F718" s="526" t="s">
        <v>1218</v>
      </c>
      <c r="G718" s="283" t="s">
        <v>1860</v>
      </c>
      <c r="H718" s="527" t="s">
        <v>539</v>
      </c>
      <c r="I718" s="13" t="s">
        <v>1371</v>
      </c>
      <c r="J718" s="34" t="s">
        <v>1437</v>
      </c>
      <c r="L718" s="32">
        <v>16.350000000000001</v>
      </c>
      <c r="M718" s="32">
        <v>16.350000000000001</v>
      </c>
      <c r="N718" s="196">
        <v>2</v>
      </c>
      <c r="P718" s="13" t="s">
        <v>268</v>
      </c>
      <c r="Q718" s="13" t="s">
        <v>457</v>
      </c>
      <c r="R718" s="13" t="s">
        <v>573</v>
      </c>
      <c r="S718" s="19" t="s">
        <v>360</v>
      </c>
      <c r="T718" s="18">
        <v>0</v>
      </c>
      <c r="U718" s="18"/>
      <c r="V718" s="18"/>
      <c r="W718" s="18">
        <f t="shared" si="15"/>
        <v>0</v>
      </c>
      <c r="X718" s="18"/>
      <c r="Y718" s="18"/>
      <c r="Z718" s="275"/>
    </row>
    <row r="719" spans="3:26">
      <c r="C719" s="48" t="s">
        <v>1222</v>
      </c>
      <c r="D719" s="48" t="s">
        <v>1222</v>
      </c>
      <c r="E719" s="18" t="s">
        <v>1217</v>
      </c>
      <c r="F719" s="526" t="s">
        <v>1218</v>
      </c>
      <c r="G719" s="283" t="s">
        <v>1860</v>
      </c>
      <c r="H719" s="527" t="s">
        <v>539</v>
      </c>
      <c r="I719" s="13" t="s">
        <v>1371</v>
      </c>
      <c r="J719" s="34" t="s">
        <v>1437</v>
      </c>
      <c r="L719" s="32">
        <v>16.350000000000001</v>
      </c>
      <c r="M719" s="32">
        <v>16.350000000000001</v>
      </c>
      <c r="N719" s="196">
        <v>2</v>
      </c>
      <c r="P719" s="13" t="s">
        <v>268</v>
      </c>
      <c r="Q719" s="13" t="s">
        <v>457</v>
      </c>
      <c r="R719" s="13" t="s">
        <v>573</v>
      </c>
      <c r="S719" s="19" t="s">
        <v>360</v>
      </c>
      <c r="T719" s="18">
        <v>0</v>
      </c>
      <c r="U719" s="18"/>
      <c r="V719" s="18"/>
      <c r="W719" s="18">
        <f t="shared" si="15"/>
        <v>0</v>
      </c>
      <c r="X719" s="18"/>
      <c r="Y719" s="18"/>
      <c r="Z719" s="275"/>
    </row>
    <row r="720" spans="3:26">
      <c r="C720" s="48" t="s">
        <v>1222</v>
      </c>
      <c r="D720" s="48" t="s">
        <v>1222</v>
      </c>
      <c r="E720" s="18" t="s">
        <v>1217</v>
      </c>
      <c r="F720" s="526" t="s">
        <v>1218</v>
      </c>
      <c r="G720" s="283" t="s">
        <v>1860</v>
      </c>
      <c r="H720" s="527" t="s">
        <v>539</v>
      </c>
      <c r="I720" s="555" t="s">
        <v>192</v>
      </c>
      <c r="J720" s="34" t="s">
        <v>1437</v>
      </c>
      <c r="L720" s="32">
        <v>5.26</v>
      </c>
      <c r="M720" s="32">
        <v>5.26</v>
      </c>
      <c r="N720" s="213"/>
      <c r="P720" s="13" t="s">
        <v>572</v>
      </c>
      <c r="Q720" s="13" t="s">
        <v>572</v>
      </c>
      <c r="R720" s="13" t="s">
        <v>573</v>
      </c>
      <c r="S720" s="19" t="s">
        <v>100</v>
      </c>
      <c r="T720" s="18">
        <v>0</v>
      </c>
      <c r="U720" s="18"/>
      <c r="V720" s="18"/>
      <c r="W720" s="18">
        <f t="shared" si="15"/>
        <v>0</v>
      </c>
      <c r="X720" s="18"/>
      <c r="Y720" s="18"/>
      <c r="Z720" s="275"/>
    </row>
    <row r="721" spans="3:26">
      <c r="C721" s="48" t="s">
        <v>1222</v>
      </c>
      <c r="D721" s="48" t="s">
        <v>1222</v>
      </c>
      <c r="E721" s="18" t="s">
        <v>1217</v>
      </c>
      <c r="F721" s="526" t="s">
        <v>1218</v>
      </c>
      <c r="G721" s="283" t="s">
        <v>1860</v>
      </c>
      <c r="H721" s="527" t="s">
        <v>539</v>
      </c>
      <c r="I721" s="13" t="s">
        <v>1371</v>
      </c>
      <c r="J721" s="34" t="s">
        <v>1437</v>
      </c>
      <c r="L721" s="32">
        <v>16.350000000000001</v>
      </c>
      <c r="M721" s="32">
        <v>16.350000000000001</v>
      </c>
      <c r="N721" s="196">
        <v>2</v>
      </c>
      <c r="P721" s="13" t="s">
        <v>268</v>
      </c>
      <c r="Q721" s="13" t="s">
        <v>457</v>
      </c>
      <c r="R721" s="13" t="s">
        <v>573</v>
      </c>
      <c r="S721" s="19" t="s">
        <v>360</v>
      </c>
      <c r="T721" s="18">
        <v>0</v>
      </c>
      <c r="U721" s="18"/>
      <c r="V721" s="18"/>
      <c r="W721" s="18">
        <f t="shared" si="15"/>
        <v>0</v>
      </c>
      <c r="X721" s="18"/>
      <c r="Y721" s="18"/>
      <c r="Z721" s="275"/>
    </row>
    <row r="722" spans="3:26">
      <c r="C722" s="48" t="s">
        <v>1222</v>
      </c>
      <c r="D722" s="48" t="s">
        <v>1222</v>
      </c>
      <c r="E722" s="18" t="s">
        <v>1217</v>
      </c>
      <c r="F722" s="526" t="s">
        <v>1218</v>
      </c>
      <c r="G722" s="283" t="s">
        <v>1860</v>
      </c>
      <c r="H722" s="527" t="s">
        <v>539</v>
      </c>
      <c r="I722" s="13" t="s">
        <v>1371</v>
      </c>
      <c r="J722" s="34" t="s">
        <v>1437</v>
      </c>
      <c r="L722" s="32">
        <v>16.350000000000001</v>
      </c>
      <c r="M722" s="32">
        <v>16.350000000000001</v>
      </c>
      <c r="N722" s="196">
        <v>2</v>
      </c>
      <c r="P722" s="13" t="s">
        <v>268</v>
      </c>
      <c r="Q722" s="13" t="s">
        <v>457</v>
      </c>
      <c r="R722" s="13" t="s">
        <v>573</v>
      </c>
      <c r="S722" s="19" t="s">
        <v>360</v>
      </c>
      <c r="T722" s="18">
        <v>0</v>
      </c>
      <c r="U722" s="18"/>
      <c r="V722" s="18"/>
      <c r="W722" s="18">
        <f t="shared" si="15"/>
        <v>0</v>
      </c>
      <c r="X722" s="18"/>
      <c r="Y722" s="18"/>
      <c r="Z722" s="275"/>
    </row>
    <row r="723" spans="3:26">
      <c r="C723" s="48" t="s">
        <v>1222</v>
      </c>
      <c r="D723" s="48" t="s">
        <v>1222</v>
      </c>
      <c r="E723" s="18" t="s">
        <v>1217</v>
      </c>
      <c r="F723" s="526" t="s">
        <v>1218</v>
      </c>
      <c r="G723" s="283" t="s">
        <v>1860</v>
      </c>
      <c r="H723" s="527" t="s">
        <v>539</v>
      </c>
      <c r="I723" s="555" t="s">
        <v>192</v>
      </c>
      <c r="J723" s="34" t="s">
        <v>1437</v>
      </c>
      <c r="L723" s="32">
        <v>5.26</v>
      </c>
      <c r="M723" s="32">
        <v>5.26</v>
      </c>
      <c r="N723" s="213"/>
      <c r="P723" s="13" t="s">
        <v>572</v>
      </c>
      <c r="Q723" s="13" t="s">
        <v>572</v>
      </c>
      <c r="R723" s="13" t="s">
        <v>573</v>
      </c>
      <c r="S723" s="19" t="s">
        <v>100</v>
      </c>
      <c r="T723" s="18">
        <v>0</v>
      </c>
      <c r="U723" s="18"/>
      <c r="V723" s="18"/>
      <c r="W723" s="18">
        <f t="shared" si="15"/>
        <v>0</v>
      </c>
      <c r="X723" s="18"/>
      <c r="Y723" s="18"/>
      <c r="Z723" s="275"/>
    </row>
    <row r="724" spans="3:26">
      <c r="C724" s="48" t="s">
        <v>1222</v>
      </c>
      <c r="D724" s="48" t="s">
        <v>1222</v>
      </c>
      <c r="E724" s="18" t="s">
        <v>1217</v>
      </c>
      <c r="F724" s="526" t="s">
        <v>1218</v>
      </c>
      <c r="G724" s="283" t="s">
        <v>1860</v>
      </c>
      <c r="H724" s="527" t="s">
        <v>539</v>
      </c>
      <c r="I724" s="13" t="s">
        <v>1371</v>
      </c>
      <c r="J724" s="34" t="s">
        <v>1437</v>
      </c>
      <c r="L724" s="32">
        <v>16.350000000000001</v>
      </c>
      <c r="M724" s="32">
        <v>16.350000000000001</v>
      </c>
      <c r="N724" s="196">
        <v>2</v>
      </c>
      <c r="P724" s="13" t="s">
        <v>268</v>
      </c>
      <c r="Q724" s="13" t="s">
        <v>457</v>
      </c>
      <c r="R724" s="13" t="s">
        <v>573</v>
      </c>
      <c r="S724" s="19" t="s">
        <v>360</v>
      </c>
      <c r="T724" s="18">
        <v>0</v>
      </c>
      <c r="U724" s="18"/>
      <c r="V724" s="18"/>
      <c r="W724" s="18">
        <f t="shared" si="15"/>
        <v>0</v>
      </c>
      <c r="X724" s="18"/>
      <c r="Y724" s="18"/>
      <c r="Z724" s="275"/>
    </row>
    <row r="725" spans="3:26">
      <c r="C725" s="48" t="s">
        <v>1222</v>
      </c>
      <c r="D725" s="48" t="s">
        <v>1222</v>
      </c>
      <c r="E725" s="18" t="s">
        <v>1217</v>
      </c>
      <c r="F725" s="526" t="s">
        <v>1218</v>
      </c>
      <c r="G725" s="283" t="s">
        <v>1860</v>
      </c>
      <c r="H725" s="527" t="s">
        <v>539</v>
      </c>
      <c r="I725" s="13" t="s">
        <v>1371</v>
      </c>
      <c r="J725" s="34" t="s">
        <v>1437</v>
      </c>
      <c r="L725" s="32">
        <v>16.350000000000001</v>
      </c>
      <c r="M725" s="32">
        <v>16.350000000000001</v>
      </c>
      <c r="N725" s="196">
        <v>2</v>
      </c>
      <c r="P725" s="13" t="s">
        <v>268</v>
      </c>
      <c r="Q725" s="13" t="s">
        <v>457</v>
      </c>
      <c r="R725" s="13" t="s">
        <v>573</v>
      </c>
      <c r="S725" s="19" t="s">
        <v>360</v>
      </c>
      <c r="T725" s="18">
        <v>0</v>
      </c>
      <c r="U725" s="18"/>
      <c r="V725" s="18"/>
      <c r="W725" s="18">
        <f t="shared" si="15"/>
        <v>0</v>
      </c>
      <c r="X725" s="18"/>
      <c r="Y725" s="18"/>
      <c r="Z725" s="275"/>
    </row>
    <row r="726" spans="3:26">
      <c r="C726" s="48" t="s">
        <v>1222</v>
      </c>
      <c r="D726" s="48" t="s">
        <v>1222</v>
      </c>
      <c r="E726" s="18" t="s">
        <v>1217</v>
      </c>
      <c r="F726" s="526" t="s">
        <v>1218</v>
      </c>
      <c r="G726" s="283" t="s">
        <v>1860</v>
      </c>
      <c r="H726" s="527" t="s">
        <v>539</v>
      </c>
      <c r="I726" s="555" t="s">
        <v>192</v>
      </c>
      <c r="J726" s="34" t="s">
        <v>1437</v>
      </c>
      <c r="L726" s="32">
        <v>5.26</v>
      </c>
      <c r="M726" s="32">
        <v>5.26</v>
      </c>
      <c r="N726" s="213"/>
      <c r="P726" s="13" t="s">
        <v>572</v>
      </c>
      <c r="Q726" s="13" t="s">
        <v>572</v>
      </c>
      <c r="R726" s="13" t="s">
        <v>573</v>
      </c>
      <c r="S726" s="19" t="s">
        <v>100</v>
      </c>
      <c r="T726" s="18">
        <v>0</v>
      </c>
      <c r="U726" s="18"/>
      <c r="V726" s="18"/>
      <c r="W726" s="18">
        <f t="shared" si="15"/>
        <v>0</v>
      </c>
      <c r="X726" s="18"/>
      <c r="Y726" s="18"/>
      <c r="Z726" s="275"/>
    </row>
    <row r="727" spans="3:26">
      <c r="C727" s="48" t="s">
        <v>1222</v>
      </c>
      <c r="D727" s="48" t="s">
        <v>1222</v>
      </c>
      <c r="E727" s="18" t="s">
        <v>1217</v>
      </c>
      <c r="F727" s="526" t="s">
        <v>1218</v>
      </c>
      <c r="G727" s="283" t="s">
        <v>1860</v>
      </c>
      <c r="H727" s="527" t="s">
        <v>539</v>
      </c>
      <c r="I727" s="13" t="s">
        <v>1371</v>
      </c>
      <c r="J727" s="34" t="s">
        <v>1437</v>
      </c>
      <c r="L727" s="32">
        <v>16.350000000000001</v>
      </c>
      <c r="M727" s="32">
        <v>16.350000000000001</v>
      </c>
      <c r="N727" s="196">
        <v>2</v>
      </c>
      <c r="P727" s="13" t="s">
        <v>268</v>
      </c>
      <c r="Q727" s="13" t="s">
        <v>457</v>
      </c>
      <c r="R727" s="13" t="s">
        <v>573</v>
      </c>
      <c r="S727" s="19" t="s">
        <v>360</v>
      </c>
      <c r="T727" s="18">
        <v>0</v>
      </c>
      <c r="U727" s="18"/>
      <c r="V727" s="18"/>
      <c r="W727" s="18">
        <f t="shared" si="15"/>
        <v>0</v>
      </c>
      <c r="X727" s="18"/>
      <c r="Y727" s="18"/>
      <c r="Z727" s="275"/>
    </row>
    <row r="728" spans="3:26">
      <c r="C728" s="48" t="s">
        <v>1222</v>
      </c>
      <c r="D728" s="48" t="s">
        <v>1222</v>
      </c>
      <c r="E728" s="18" t="s">
        <v>1217</v>
      </c>
      <c r="F728" s="526" t="s">
        <v>1218</v>
      </c>
      <c r="G728" s="283" t="s">
        <v>1860</v>
      </c>
      <c r="H728" s="527" t="s">
        <v>539</v>
      </c>
      <c r="I728" s="555" t="s">
        <v>192</v>
      </c>
      <c r="J728" s="34" t="s">
        <v>1437</v>
      </c>
      <c r="L728" s="32">
        <v>6.97</v>
      </c>
      <c r="M728" s="32">
        <v>6.97</v>
      </c>
      <c r="N728" s="213"/>
      <c r="P728" s="13" t="s">
        <v>268</v>
      </c>
      <c r="Q728" s="13" t="s">
        <v>457</v>
      </c>
      <c r="R728" s="13" t="s">
        <v>573</v>
      </c>
      <c r="S728" s="19" t="s">
        <v>360</v>
      </c>
      <c r="T728" s="18">
        <v>0</v>
      </c>
      <c r="U728" s="18"/>
      <c r="V728" s="18"/>
      <c r="W728" s="18">
        <f t="shared" si="15"/>
        <v>0</v>
      </c>
      <c r="X728" s="18"/>
      <c r="Y728" s="18"/>
      <c r="Z728" s="275"/>
    </row>
    <row r="729" spans="3:26">
      <c r="C729" s="48" t="s">
        <v>1222</v>
      </c>
      <c r="D729" s="48" t="s">
        <v>1222</v>
      </c>
      <c r="E729" s="18" t="s">
        <v>1217</v>
      </c>
      <c r="F729" s="526" t="s">
        <v>1218</v>
      </c>
      <c r="G729" s="283" t="s">
        <v>1860</v>
      </c>
      <c r="H729" s="527" t="s">
        <v>539</v>
      </c>
      <c r="I729" s="13" t="s">
        <v>1371</v>
      </c>
      <c r="J729" s="34" t="s">
        <v>1437</v>
      </c>
      <c r="L729" s="32">
        <v>16.350000000000001</v>
      </c>
      <c r="M729" s="32">
        <v>16.350000000000001</v>
      </c>
      <c r="N729" s="196">
        <v>2</v>
      </c>
      <c r="P729" s="13" t="s">
        <v>268</v>
      </c>
      <c r="Q729" s="13" t="s">
        <v>457</v>
      </c>
      <c r="R729" s="13" t="s">
        <v>573</v>
      </c>
      <c r="S729" s="19" t="s">
        <v>360</v>
      </c>
      <c r="T729" s="18">
        <v>0</v>
      </c>
      <c r="U729" s="18"/>
      <c r="V729" s="18"/>
      <c r="W729" s="18">
        <f t="shared" si="15"/>
        <v>0</v>
      </c>
      <c r="X729" s="18"/>
      <c r="Y729" s="18"/>
      <c r="Z729" s="275"/>
    </row>
    <row r="730" spans="3:26">
      <c r="C730" s="48" t="s">
        <v>1222</v>
      </c>
      <c r="D730" s="48" t="s">
        <v>1222</v>
      </c>
      <c r="E730" s="18" t="s">
        <v>1217</v>
      </c>
      <c r="F730" s="526" t="s">
        <v>1218</v>
      </c>
      <c r="G730" s="283" t="s">
        <v>1860</v>
      </c>
      <c r="H730" s="527" t="s">
        <v>539</v>
      </c>
      <c r="I730" s="13" t="s">
        <v>1371</v>
      </c>
      <c r="J730" s="34" t="s">
        <v>1437</v>
      </c>
      <c r="L730" s="32">
        <v>16.350000000000001</v>
      </c>
      <c r="M730" s="32">
        <v>16.350000000000001</v>
      </c>
      <c r="N730" s="196">
        <v>2</v>
      </c>
      <c r="P730" s="13" t="s">
        <v>268</v>
      </c>
      <c r="Q730" s="13" t="s">
        <v>457</v>
      </c>
      <c r="R730" s="13" t="s">
        <v>573</v>
      </c>
      <c r="S730" s="19" t="s">
        <v>360</v>
      </c>
      <c r="T730" s="18">
        <v>0</v>
      </c>
      <c r="U730" s="18"/>
      <c r="V730" s="18"/>
      <c r="W730" s="18">
        <f t="shared" si="15"/>
        <v>0</v>
      </c>
      <c r="X730" s="18"/>
      <c r="Y730" s="18"/>
      <c r="Z730" s="275"/>
    </row>
    <row r="731" spans="3:26">
      <c r="C731" s="48" t="s">
        <v>1222</v>
      </c>
      <c r="D731" s="48" t="s">
        <v>1222</v>
      </c>
      <c r="E731" s="18" t="s">
        <v>1217</v>
      </c>
      <c r="F731" s="526" t="s">
        <v>1218</v>
      </c>
      <c r="G731" s="283" t="s">
        <v>1860</v>
      </c>
      <c r="H731" s="527" t="s">
        <v>539</v>
      </c>
      <c r="I731" s="555" t="s">
        <v>192</v>
      </c>
      <c r="J731" s="34" t="s">
        <v>1437</v>
      </c>
      <c r="L731" s="32">
        <v>5.26</v>
      </c>
      <c r="M731" s="32">
        <v>5.26</v>
      </c>
      <c r="N731" s="213"/>
      <c r="P731" s="13" t="s">
        <v>572</v>
      </c>
      <c r="Q731" s="13" t="s">
        <v>572</v>
      </c>
      <c r="R731" s="13" t="s">
        <v>573</v>
      </c>
      <c r="S731" s="19" t="s">
        <v>100</v>
      </c>
      <c r="T731" s="18">
        <v>0</v>
      </c>
      <c r="U731" s="18"/>
      <c r="V731" s="18"/>
      <c r="W731" s="18">
        <f t="shared" si="15"/>
        <v>0</v>
      </c>
      <c r="X731" s="18"/>
      <c r="Y731" s="18"/>
      <c r="Z731" s="275"/>
    </row>
    <row r="732" spans="3:26">
      <c r="C732" s="48" t="s">
        <v>1222</v>
      </c>
      <c r="D732" s="48" t="s">
        <v>1222</v>
      </c>
      <c r="E732" s="18" t="s">
        <v>1217</v>
      </c>
      <c r="F732" s="526" t="s">
        <v>1218</v>
      </c>
      <c r="G732" s="283" t="s">
        <v>1860</v>
      </c>
      <c r="H732" s="527" t="s">
        <v>539</v>
      </c>
      <c r="I732" s="13" t="s">
        <v>1371</v>
      </c>
      <c r="J732" s="34" t="s">
        <v>1437</v>
      </c>
      <c r="L732" s="32">
        <v>16.350000000000001</v>
      </c>
      <c r="M732" s="32">
        <v>16.350000000000001</v>
      </c>
      <c r="N732" s="196">
        <v>2</v>
      </c>
      <c r="P732" s="13" t="s">
        <v>268</v>
      </c>
      <c r="Q732" s="13" t="s">
        <v>457</v>
      </c>
      <c r="R732" s="13" t="s">
        <v>573</v>
      </c>
      <c r="S732" s="19" t="s">
        <v>360</v>
      </c>
      <c r="T732" s="18">
        <v>0</v>
      </c>
      <c r="U732" s="18"/>
      <c r="V732" s="18"/>
      <c r="W732" s="18">
        <f t="shared" si="15"/>
        <v>0</v>
      </c>
      <c r="X732" s="18"/>
      <c r="Y732" s="18"/>
      <c r="Z732" s="275"/>
    </row>
    <row r="733" spans="3:26">
      <c r="C733" s="48" t="s">
        <v>1222</v>
      </c>
      <c r="D733" s="48" t="s">
        <v>1222</v>
      </c>
      <c r="E733" s="18" t="s">
        <v>1217</v>
      </c>
      <c r="F733" s="526" t="s">
        <v>1218</v>
      </c>
      <c r="G733" s="283" t="s">
        <v>1860</v>
      </c>
      <c r="H733" s="527" t="s">
        <v>539</v>
      </c>
      <c r="I733" s="13" t="s">
        <v>1371</v>
      </c>
      <c r="J733" s="34" t="s">
        <v>1437</v>
      </c>
      <c r="L733" s="32">
        <v>16.350000000000001</v>
      </c>
      <c r="M733" s="32">
        <v>16.350000000000001</v>
      </c>
      <c r="N733" s="196">
        <v>2</v>
      </c>
      <c r="P733" s="13" t="s">
        <v>268</v>
      </c>
      <c r="Q733" s="13" t="s">
        <v>457</v>
      </c>
      <c r="R733" s="13" t="s">
        <v>573</v>
      </c>
      <c r="S733" s="19" t="s">
        <v>360</v>
      </c>
      <c r="T733" s="18">
        <v>0</v>
      </c>
      <c r="U733" s="18"/>
      <c r="V733" s="18"/>
      <c r="W733" s="18">
        <f t="shared" si="15"/>
        <v>0</v>
      </c>
      <c r="X733" s="18"/>
      <c r="Y733" s="18"/>
      <c r="Z733" s="275"/>
    </row>
    <row r="734" spans="3:26">
      <c r="C734" s="48" t="s">
        <v>1222</v>
      </c>
      <c r="D734" s="48" t="s">
        <v>1222</v>
      </c>
      <c r="E734" s="18" t="s">
        <v>1217</v>
      </c>
      <c r="F734" s="526" t="s">
        <v>1218</v>
      </c>
      <c r="G734" s="283" t="s">
        <v>1860</v>
      </c>
      <c r="H734" s="527" t="s">
        <v>539</v>
      </c>
      <c r="I734" s="555" t="s">
        <v>192</v>
      </c>
      <c r="J734" s="34" t="s">
        <v>1437</v>
      </c>
      <c r="L734" s="32">
        <v>5.26</v>
      </c>
      <c r="M734" s="32">
        <v>5.26</v>
      </c>
      <c r="N734" s="213"/>
      <c r="P734" s="13" t="s">
        <v>572</v>
      </c>
      <c r="Q734" s="13" t="s">
        <v>572</v>
      </c>
      <c r="R734" s="13" t="s">
        <v>573</v>
      </c>
      <c r="S734" s="19" t="s">
        <v>100</v>
      </c>
      <c r="T734" s="18">
        <v>0</v>
      </c>
      <c r="U734" s="18"/>
      <c r="V734" s="18"/>
      <c r="W734" s="18">
        <f t="shared" si="15"/>
        <v>0</v>
      </c>
      <c r="X734" s="18"/>
      <c r="Y734" s="18"/>
      <c r="Z734" s="275"/>
    </row>
    <row r="735" spans="3:26">
      <c r="C735" s="48" t="s">
        <v>1222</v>
      </c>
      <c r="D735" s="48" t="s">
        <v>1222</v>
      </c>
      <c r="E735" s="18" t="s">
        <v>1217</v>
      </c>
      <c r="F735" s="526" t="s">
        <v>1218</v>
      </c>
      <c r="G735" s="283" t="s">
        <v>1860</v>
      </c>
      <c r="H735" s="527" t="s">
        <v>539</v>
      </c>
      <c r="I735" s="13" t="s">
        <v>1371</v>
      </c>
      <c r="J735" s="34" t="s">
        <v>1437</v>
      </c>
      <c r="L735" s="32">
        <v>16.350000000000001</v>
      </c>
      <c r="M735" s="32">
        <v>16.350000000000001</v>
      </c>
      <c r="N735" s="196">
        <v>2</v>
      </c>
      <c r="P735" s="13" t="s">
        <v>268</v>
      </c>
      <c r="Q735" s="13" t="s">
        <v>457</v>
      </c>
      <c r="R735" s="13" t="s">
        <v>573</v>
      </c>
      <c r="S735" s="19" t="s">
        <v>360</v>
      </c>
      <c r="T735" s="18">
        <v>0</v>
      </c>
      <c r="U735" s="18"/>
      <c r="V735" s="18"/>
      <c r="W735" s="18">
        <f t="shared" si="15"/>
        <v>0</v>
      </c>
      <c r="X735" s="18"/>
      <c r="Y735" s="18"/>
      <c r="Z735" s="275"/>
    </row>
    <row r="736" spans="3:26">
      <c r="C736" s="48" t="s">
        <v>1222</v>
      </c>
      <c r="D736" s="48" t="s">
        <v>1222</v>
      </c>
      <c r="E736" s="18" t="s">
        <v>1217</v>
      </c>
      <c r="F736" s="526" t="s">
        <v>1218</v>
      </c>
      <c r="G736" s="283" t="s">
        <v>1860</v>
      </c>
      <c r="H736" s="527" t="s">
        <v>539</v>
      </c>
      <c r="I736" s="13" t="s">
        <v>1371</v>
      </c>
      <c r="J736" s="34" t="s">
        <v>1437</v>
      </c>
      <c r="L736" s="32">
        <v>16.350000000000001</v>
      </c>
      <c r="M736" s="32">
        <v>16.350000000000001</v>
      </c>
      <c r="N736" s="196">
        <v>2</v>
      </c>
      <c r="P736" s="13" t="s">
        <v>268</v>
      </c>
      <c r="Q736" s="13" t="s">
        <v>457</v>
      </c>
      <c r="R736" s="13" t="s">
        <v>573</v>
      </c>
      <c r="S736" s="19" t="s">
        <v>360</v>
      </c>
      <c r="T736" s="18">
        <v>0</v>
      </c>
      <c r="U736" s="18"/>
      <c r="V736" s="18"/>
      <c r="W736" s="18">
        <f t="shared" si="15"/>
        <v>0</v>
      </c>
      <c r="X736" s="18"/>
      <c r="Y736" s="18"/>
      <c r="Z736" s="275"/>
    </row>
    <row r="737" spans="3:26">
      <c r="C737" s="48" t="s">
        <v>1222</v>
      </c>
      <c r="D737" s="48" t="s">
        <v>1222</v>
      </c>
      <c r="E737" s="18" t="s">
        <v>1217</v>
      </c>
      <c r="F737" s="526" t="s">
        <v>1218</v>
      </c>
      <c r="G737" s="283" t="s">
        <v>1860</v>
      </c>
      <c r="H737" s="527" t="s">
        <v>539</v>
      </c>
      <c r="I737" s="555" t="s">
        <v>192</v>
      </c>
      <c r="J737" s="34" t="s">
        <v>1437</v>
      </c>
      <c r="L737" s="32">
        <v>5.26</v>
      </c>
      <c r="M737" s="32">
        <v>5.26</v>
      </c>
      <c r="N737" s="213"/>
      <c r="P737" s="13" t="s">
        <v>572</v>
      </c>
      <c r="Q737" s="13" t="s">
        <v>572</v>
      </c>
      <c r="R737" s="13" t="s">
        <v>573</v>
      </c>
      <c r="S737" s="19" t="s">
        <v>100</v>
      </c>
      <c r="T737" s="18">
        <v>0</v>
      </c>
      <c r="U737" s="18"/>
      <c r="V737" s="18"/>
      <c r="W737" s="18">
        <f t="shared" si="15"/>
        <v>0</v>
      </c>
      <c r="X737" s="18"/>
      <c r="Y737" s="18"/>
      <c r="Z737" s="275"/>
    </row>
    <row r="738" spans="3:26">
      <c r="C738" s="48" t="s">
        <v>1222</v>
      </c>
      <c r="D738" s="48" t="s">
        <v>1222</v>
      </c>
      <c r="E738" s="18" t="s">
        <v>1217</v>
      </c>
      <c r="F738" s="526" t="s">
        <v>1218</v>
      </c>
      <c r="G738" s="283" t="s">
        <v>1860</v>
      </c>
      <c r="H738" s="527" t="s">
        <v>539</v>
      </c>
      <c r="I738" s="13" t="s">
        <v>1371</v>
      </c>
      <c r="J738" s="34" t="s">
        <v>1437</v>
      </c>
      <c r="L738" s="32">
        <v>16.350000000000001</v>
      </c>
      <c r="M738" s="32">
        <v>16.350000000000001</v>
      </c>
      <c r="N738" s="196">
        <v>2</v>
      </c>
      <c r="P738" s="13" t="s">
        <v>268</v>
      </c>
      <c r="Q738" s="13" t="s">
        <v>457</v>
      </c>
      <c r="R738" s="13" t="s">
        <v>573</v>
      </c>
      <c r="S738" s="19" t="s">
        <v>360</v>
      </c>
      <c r="T738" s="18">
        <v>0</v>
      </c>
      <c r="U738" s="18"/>
      <c r="V738" s="18"/>
      <c r="W738" s="18">
        <f t="shared" si="15"/>
        <v>0</v>
      </c>
      <c r="X738" s="18"/>
      <c r="Y738" s="18"/>
      <c r="Z738" s="275"/>
    </row>
    <row r="739" spans="3:26">
      <c r="C739" s="48" t="s">
        <v>1222</v>
      </c>
      <c r="D739" s="48" t="s">
        <v>1222</v>
      </c>
      <c r="E739" s="18" t="s">
        <v>1217</v>
      </c>
      <c r="F739" s="526" t="s">
        <v>1218</v>
      </c>
      <c r="G739" s="283" t="s">
        <v>1860</v>
      </c>
      <c r="H739" s="527" t="s">
        <v>539</v>
      </c>
      <c r="I739" s="13" t="s">
        <v>1371</v>
      </c>
      <c r="J739" s="34" t="s">
        <v>1437</v>
      </c>
      <c r="L739" s="32">
        <v>16.350000000000001</v>
      </c>
      <c r="M739" s="32">
        <v>16.350000000000001</v>
      </c>
      <c r="N739" s="196">
        <v>2</v>
      </c>
      <c r="P739" s="13" t="s">
        <v>268</v>
      </c>
      <c r="Q739" s="13" t="s">
        <v>457</v>
      </c>
      <c r="R739" s="13" t="s">
        <v>573</v>
      </c>
      <c r="S739" s="19" t="s">
        <v>360</v>
      </c>
      <c r="T739" s="18">
        <v>0</v>
      </c>
      <c r="U739" s="18"/>
      <c r="V739" s="18"/>
      <c r="W739" s="18">
        <f t="shared" si="15"/>
        <v>0</v>
      </c>
      <c r="X739" s="18"/>
      <c r="Y739" s="18"/>
      <c r="Z739" s="275"/>
    </row>
    <row r="740" spans="3:26">
      <c r="C740" s="48" t="s">
        <v>1222</v>
      </c>
      <c r="D740" s="48" t="s">
        <v>1222</v>
      </c>
      <c r="E740" s="18" t="s">
        <v>1217</v>
      </c>
      <c r="F740" s="526" t="s">
        <v>1218</v>
      </c>
      <c r="G740" s="283" t="s">
        <v>1860</v>
      </c>
      <c r="H740" s="527" t="s">
        <v>539</v>
      </c>
      <c r="I740" s="555" t="s">
        <v>192</v>
      </c>
      <c r="J740" s="34" t="s">
        <v>1437</v>
      </c>
      <c r="L740" s="32">
        <v>5.26</v>
      </c>
      <c r="M740" s="32">
        <v>5.26</v>
      </c>
      <c r="N740" s="213"/>
      <c r="P740" s="13" t="s">
        <v>572</v>
      </c>
      <c r="Q740" s="13" t="s">
        <v>572</v>
      </c>
      <c r="R740" s="13" t="s">
        <v>573</v>
      </c>
      <c r="S740" s="19" t="s">
        <v>100</v>
      </c>
      <c r="T740" s="18">
        <v>0</v>
      </c>
      <c r="U740" s="18"/>
      <c r="V740" s="18"/>
      <c r="W740" s="18">
        <f t="shared" si="15"/>
        <v>0</v>
      </c>
      <c r="X740" s="18"/>
      <c r="Y740" s="18"/>
      <c r="Z740" s="275"/>
    </row>
    <row r="741" spans="3:26">
      <c r="C741" s="48" t="s">
        <v>1222</v>
      </c>
      <c r="D741" s="48" t="s">
        <v>1222</v>
      </c>
      <c r="E741" s="18" t="s">
        <v>1217</v>
      </c>
      <c r="F741" s="526" t="s">
        <v>1218</v>
      </c>
      <c r="G741" s="283" t="s">
        <v>1860</v>
      </c>
      <c r="H741" s="527" t="s">
        <v>539</v>
      </c>
      <c r="I741" s="13" t="s">
        <v>1371</v>
      </c>
      <c r="J741" s="34" t="s">
        <v>1437</v>
      </c>
      <c r="L741" s="32">
        <v>16.350000000000001</v>
      </c>
      <c r="M741" s="32">
        <v>16.350000000000001</v>
      </c>
      <c r="N741" s="196">
        <v>2</v>
      </c>
      <c r="P741" s="13" t="s">
        <v>268</v>
      </c>
      <c r="Q741" s="13" t="s">
        <v>457</v>
      </c>
      <c r="R741" s="13" t="s">
        <v>573</v>
      </c>
      <c r="S741" s="19" t="s">
        <v>360</v>
      </c>
      <c r="T741" s="18">
        <v>0</v>
      </c>
      <c r="U741" s="18"/>
      <c r="V741" s="18"/>
      <c r="W741" s="18">
        <f t="shared" si="15"/>
        <v>0</v>
      </c>
      <c r="X741" s="18"/>
      <c r="Y741" s="18"/>
      <c r="Z741" s="275"/>
    </row>
    <row r="742" spans="3:26">
      <c r="C742" s="48" t="s">
        <v>1222</v>
      </c>
      <c r="D742" s="48" t="s">
        <v>1222</v>
      </c>
      <c r="E742" s="18" t="s">
        <v>1217</v>
      </c>
      <c r="F742" s="526" t="s">
        <v>1218</v>
      </c>
      <c r="G742" s="283" t="s">
        <v>1860</v>
      </c>
      <c r="H742" s="527" t="s">
        <v>539</v>
      </c>
      <c r="I742" s="13" t="s">
        <v>1371</v>
      </c>
      <c r="J742" s="34" t="s">
        <v>1437</v>
      </c>
      <c r="L742" s="32">
        <v>16.350000000000001</v>
      </c>
      <c r="M742" s="32">
        <v>16.350000000000001</v>
      </c>
      <c r="N742" s="196">
        <v>2</v>
      </c>
      <c r="P742" s="13" t="s">
        <v>268</v>
      </c>
      <c r="Q742" s="13" t="s">
        <v>457</v>
      </c>
      <c r="R742" s="13" t="s">
        <v>573</v>
      </c>
      <c r="S742" s="19" t="s">
        <v>360</v>
      </c>
      <c r="T742" s="18">
        <v>0</v>
      </c>
      <c r="U742" s="18"/>
      <c r="V742" s="18"/>
      <c r="W742" s="18">
        <f t="shared" si="15"/>
        <v>0</v>
      </c>
      <c r="X742" s="18"/>
      <c r="Y742" s="18"/>
      <c r="Z742" s="275"/>
    </row>
    <row r="743" spans="3:26">
      <c r="C743" s="48" t="s">
        <v>1222</v>
      </c>
      <c r="D743" s="48" t="s">
        <v>1222</v>
      </c>
      <c r="E743" s="18" t="s">
        <v>1217</v>
      </c>
      <c r="F743" s="526" t="s">
        <v>1218</v>
      </c>
      <c r="G743" s="283" t="s">
        <v>1860</v>
      </c>
      <c r="H743" s="527" t="s">
        <v>539</v>
      </c>
      <c r="I743" s="555" t="s">
        <v>192</v>
      </c>
      <c r="J743" s="34" t="s">
        <v>1437</v>
      </c>
      <c r="L743" s="32">
        <v>5.26</v>
      </c>
      <c r="M743" s="32">
        <v>5.26</v>
      </c>
      <c r="N743" s="213"/>
      <c r="P743" s="13" t="s">
        <v>572</v>
      </c>
      <c r="Q743" s="13" t="s">
        <v>572</v>
      </c>
      <c r="R743" s="13" t="s">
        <v>573</v>
      </c>
      <c r="S743" s="19" t="s">
        <v>100</v>
      </c>
      <c r="T743" s="18">
        <v>0</v>
      </c>
      <c r="U743" s="18"/>
      <c r="V743" s="18"/>
      <c r="W743" s="18">
        <f t="shared" si="15"/>
        <v>0</v>
      </c>
      <c r="X743" s="18"/>
      <c r="Y743" s="18"/>
      <c r="Z743" s="275"/>
    </row>
    <row r="744" spans="3:26">
      <c r="C744" s="48" t="s">
        <v>1222</v>
      </c>
      <c r="D744" s="48" t="s">
        <v>1222</v>
      </c>
      <c r="E744" s="18" t="s">
        <v>1217</v>
      </c>
      <c r="F744" s="526" t="s">
        <v>1218</v>
      </c>
      <c r="G744" s="283" t="s">
        <v>1860</v>
      </c>
      <c r="H744" s="527" t="s">
        <v>539</v>
      </c>
      <c r="I744" s="13" t="s">
        <v>1371</v>
      </c>
      <c r="J744" s="34" t="s">
        <v>1437</v>
      </c>
      <c r="L744" s="32">
        <v>16.350000000000001</v>
      </c>
      <c r="M744" s="32">
        <v>16.350000000000001</v>
      </c>
      <c r="N744" s="196">
        <v>2</v>
      </c>
      <c r="P744" s="13" t="s">
        <v>268</v>
      </c>
      <c r="Q744" s="13" t="s">
        <v>457</v>
      </c>
      <c r="R744" s="13" t="s">
        <v>573</v>
      </c>
      <c r="S744" s="19" t="s">
        <v>360</v>
      </c>
      <c r="T744" s="18">
        <v>0</v>
      </c>
      <c r="U744" s="18"/>
      <c r="V744" s="18"/>
      <c r="W744" s="18">
        <f t="shared" si="15"/>
        <v>0</v>
      </c>
      <c r="X744" s="18"/>
      <c r="Y744" s="18"/>
      <c r="Z744" s="275"/>
    </row>
    <row r="745" spans="3:26">
      <c r="C745" s="48" t="s">
        <v>1222</v>
      </c>
      <c r="D745" s="48" t="s">
        <v>1222</v>
      </c>
      <c r="E745" s="18" t="s">
        <v>1217</v>
      </c>
      <c r="F745" s="526" t="s">
        <v>1218</v>
      </c>
      <c r="G745" s="283" t="s">
        <v>1860</v>
      </c>
      <c r="H745" s="527" t="s">
        <v>539</v>
      </c>
      <c r="I745" s="13" t="s">
        <v>1371</v>
      </c>
      <c r="J745" s="34" t="s">
        <v>1437</v>
      </c>
      <c r="L745" s="32">
        <v>16.350000000000001</v>
      </c>
      <c r="M745" s="32">
        <v>16.350000000000001</v>
      </c>
      <c r="N745" s="196">
        <v>2</v>
      </c>
      <c r="P745" s="13" t="s">
        <v>268</v>
      </c>
      <c r="Q745" s="13" t="s">
        <v>457</v>
      </c>
      <c r="R745" s="13" t="s">
        <v>573</v>
      </c>
      <c r="S745" s="19" t="s">
        <v>360</v>
      </c>
      <c r="T745" s="18">
        <v>0</v>
      </c>
      <c r="U745" s="18"/>
      <c r="V745" s="18"/>
      <c r="W745" s="18">
        <f t="shared" si="15"/>
        <v>0</v>
      </c>
      <c r="X745" s="18"/>
      <c r="Y745" s="18"/>
      <c r="Z745" s="275"/>
    </row>
    <row r="746" spans="3:26">
      <c r="C746" s="48" t="s">
        <v>1222</v>
      </c>
      <c r="D746" s="48" t="s">
        <v>1222</v>
      </c>
      <c r="E746" s="18" t="s">
        <v>1217</v>
      </c>
      <c r="F746" s="526" t="s">
        <v>1218</v>
      </c>
      <c r="G746" s="283" t="s">
        <v>1860</v>
      </c>
      <c r="H746" s="527" t="s">
        <v>539</v>
      </c>
      <c r="I746" s="555" t="s">
        <v>192</v>
      </c>
      <c r="J746" s="34" t="s">
        <v>1437</v>
      </c>
      <c r="L746" s="32">
        <v>5.26</v>
      </c>
      <c r="M746" s="32">
        <v>5.26</v>
      </c>
      <c r="N746" s="213"/>
      <c r="P746" s="13" t="s">
        <v>572</v>
      </c>
      <c r="Q746" s="13" t="s">
        <v>572</v>
      </c>
      <c r="R746" s="13" t="s">
        <v>573</v>
      </c>
      <c r="S746" s="19" t="s">
        <v>100</v>
      </c>
      <c r="T746" s="18">
        <v>0</v>
      </c>
      <c r="U746" s="18"/>
      <c r="V746" s="18"/>
      <c r="W746" s="18">
        <f t="shared" si="15"/>
        <v>0</v>
      </c>
      <c r="X746" s="18"/>
      <c r="Y746" s="18"/>
      <c r="Z746" s="275"/>
    </row>
    <row r="747" spans="3:26">
      <c r="C747" s="48" t="s">
        <v>1222</v>
      </c>
      <c r="D747" s="48" t="s">
        <v>1222</v>
      </c>
      <c r="E747" s="18" t="s">
        <v>1217</v>
      </c>
      <c r="F747" s="526" t="s">
        <v>1218</v>
      </c>
      <c r="G747" s="283" t="s">
        <v>1860</v>
      </c>
      <c r="H747" s="527" t="s">
        <v>539</v>
      </c>
      <c r="I747" s="13" t="s">
        <v>1371</v>
      </c>
      <c r="J747" s="34" t="s">
        <v>1437</v>
      </c>
      <c r="L747" s="32">
        <v>16.350000000000001</v>
      </c>
      <c r="M747" s="32">
        <v>16.350000000000001</v>
      </c>
      <c r="N747" s="196">
        <v>2</v>
      </c>
      <c r="P747" s="13" t="s">
        <v>268</v>
      </c>
      <c r="Q747" s="13" t="s">
        <v>457</v>
      </c>
      <c r="R747" s="13" t="s">
        <v>573</v>
      </c>
      <c r="S747" s="19" t="s">
        <v>360</v>
      </c>
      <c r="T747" s="18">
        <v>0</v>
      </c>
      <c r="U747" s="18"/>
      <c r="V747" s="18"/>
      <c r="W747" s="18">
        <f t="shared" si="15"/>
        <v>0</v>
      </c>
      <c r="X747" s="18"/>
      <c r="Y747" s="18"/>
      <c r="Z747" s="275"/>
    </row>
    <row r="748" spans="3:26">
      <c r="C748" s="48" t="s">
        <v>1222</v>
      </c>
      <c r="D748" s="48" t="s">
        <v>1222</v>
      </c>
      <c r="E748" s="18" t="s">
        <v>1217</v>
      </c>
      <c r="F748" s="526" t="s">
        <v>1218</v>
      </c>
      <c r="G748" s="283" t="s">
        <v>1860</v>
      </c>
      <c r="H748" s="527" t="s">
        <v>539</v>
      </c>
      <c r="I748" s="13" t="s">
        <v>1371</v>
      </c>
      <c r="J748" s="34" t="s">
        <v>1437</v>
      </c>
      <c r="L748" s="32">
        <v>16.350000000000001</v>
      </c>
      <c r="M748" s="32">
        <v>16.350000000000001</v>
      </c>
      <c r="N748" s="196">
        <v>2</v>
      </c>
      <c r="P748" s="13" t="s">
        <v>268</v>
      </c>
      <c r="Q748" s="13" t="s">
        <v>457</v>
      </c>
      <c r="R748" s="13" t="s">
        <v>573</v>
      </c>
      <c r="S748" s="19" t="s">
        <v>360</v>
      </c>
      <c r="T748" s="18">
        <v>0</v>
      </c>
      <c r="U748" s="18"/>
      <c r="V748" s="18"/>
      <c r="W748" s="18">
        <f t="shared" si="15"/>
        <v>0</v>
      </c>
      <c r="X748" s="18"/>
      <c r="Y748" s="18"/>
      <c r="Z748" s="275"/>
    </row>
    <row r="749" spans="3:26">
      <c r="C749" s="48" t="s">
        <v>1222</v>
      </c>
      <c r="D749" s="48" t="s">
        <v>1222</v>
      </c>
      <c r="E749" s="18" t="s">
        <v>1217</v>
      </c>
      <c r="F749" s="526" t="s">
        <v>1218</v>
      </c>
      <c r="G749" s="283" t="s">
        <v>1860</v>
      </c>
      <c r="H749" s="527" t="s">
        <v>539</v>
      </c>
      <c r="I749" s="555" t="s">
        <v>192</v>
      </c>
      <c r="J749" s="34" t="s">
        <v>1437</v>
      </c>
      <c r="L749" s="32">
        <v>5.26</v>
      </c>
      <c r="M749" s="32">
        <v>5.26</v>
      </c>
      <c r="N749" s="213"/>
      <c r="P749" s="13" t="s">
        <v>572</v>
      </c>
      <c r="Q749" s="13" t="s">
        <v>572</v>
      </c>
      <c r="R749" s="13" t="s">
        <v>573</v>
      </c>
      <c r="S749" s="19" t="s">
        <v>100</v>
      </c>
      <c r="T749" s="18">
        <v>0</v>
      </c>
      <c r="U749" s="18"/>
      <c r="V749" s="18"/>
      <c r="W749" s="18">
        <f t="shared" si="15"/>
        <v>0</v>
      </c>
      <c r="X749" s="18"/>
      <c r="Y749" s="18"/>
      <c r="Z749" s="275"/>
    </row>
    <row r="750" spans="3:26">
      <c r="C750" s="48" t="s">
        <v>1222</v>
      </c>
      <c r="D750" s="48" t="s">
        <v>1222</v>
      </c>
      <c r="E750" s="18" t="s">
        <v>1217</v>
      </c>
      <c r="F750" s="526" t="s">
        <v>1218</v>
      </c>
      <c r="G750" s="283" t="s">
        <v>1860</v>
      </c>
      <c r="H750" s="527" t="s">
        <v>539</v>
      </c>
      <c r="I750" s="13" t="s">
        <v>1371</v>
      </c>
      <c r="J750" s="34" t="s">
        <v>1437</v>
      </c>
      <c r="L750" s="32">
        <v>16.350000000000001</v>
      </c>
      <c r="M750" s="32">
        <v>16.350000000000001</v>
      </c>
      <c r="N750" s="196">
        <v>2</v>
      </c>
      <c r="P750" s="13" t="s">
        <v>268</v>
      </c>
      <c r="Q750" s="13" t="s">
        <v>457</v>
      </c>
      <c r="R750" s="13" t="s">
        <v>573</v>
      </c>
      <c r="S750" s="19" t="s">
        <v>360</v>
      </c>
      <c r="T750" s="18">
        <v>0</v>
      </c>
      <c r="U750" s="18"/>
      <c r="V750" s="18"/>
      <c r="W750" s="18">
        <f t="shared" si="15"/>
        <v>0</v>
      </c>
      <c r="X750" s="18"/>
      <c r="Y750" s="18"/>
      <c r="Z750" s="275"/>
    </row>
    <row r="751" spans="3:26">
      <c r="C751" s="48" t="s">
        <v>1222</v>
      </c>
      <c r="D751" s="48" t="s">
        <v>1222</v>
      </c>
      <c r="E751" s="18" t="s">
        <v>1217</v>
      </c>
      <c r="F751" s="526" t="s">
        <v>1218</v>
      </c>
      <c r="G751" s="283" t="s">
        <v>1860</v>
      </c>
      <c r="H751" s="527" t="s">
        <v>539</v>
      </c>
      <c r="I751" s="13" t="s">
        <v>1371</v>
      </c>
      <c r="J751" s="34" t="s">
        <v>1437</v>
      </c>
      <c r="L751" s="32">
        <v>16.350000000000001</v>
      </c>
      <c r="M751" s="32">
        <v>16.350000000000001</v>
      </c>
      <c r="N751" s="196">
        <v>2</v>
      </c>
      <c r="P751" s="13" t="s">
        <v>268</v>
      </c>
      <c r="Q751" s="13" t="s">
        <v>457</v>
      </c>
      <c r="R751" s="13" t="s">
        <v>573</v>
      </c>
      <c r="S751" s="19" t="s">
        <v>360</v>
      </c>
      <c r="T751" s="18">
        <v>0</v>
      </c>
      <c r="U751" s="18"/>
      <c r="V751" s="18"/>
      <c r="W751" s="18">
        <f t="shared" si="15"/>
        <v>0</v>
      </c>
      <c r="X751" s="18"/>
      <c r="Y751" s="18"/>
      <c r="Z751" s="275"/>
    </row>
    <row r="752" spans="3:26">
      <c r="C752" s="48" t="s">
        <v>1222</v>
      </c>
      <c r="D752" s="48" t="s">
        <v>1222</v>
      </c>
      <c r="E752" s="18" t="s">
        <v>1217</v>
      </c>
      <c r="F752" s="526" t="s">
        <v>1218</v>
      </c>
      <c r="G752" s="283" t="s">
        <v>1860</v>
      </c>
      <c r="H752" s="527" t="s">
        <v>539</v>
      </c>
      <c r="I752" s="555" t="s">
        <v>192</v>
      </c>
      <c r="J752" s="34" t="s">
        <v>1437</v>
      </c>
      <c r="L752" s="32">
        <v>5.26</v>
      </c>
      <c r="M752" s="32">
        <v>5.26</v>
      </c>
      <c r="N752" s="213"/>
      <c r="P752" s="13" t="s">
        <v>572</v>
      </c>
      <c r="Q752" s="13" t="s">
        <v>572</v>
      </c>
      <c r="R752" s="13" t="s">
        <v>573</v>
      </c>
      <c r="S752" s="19" t="s">
        <v>100</v>
      </c>
      <c r="T752" s="18">
        <v>0</v>
      </c>
      <c r="U752" s="18"/>
      <c r="V752" s="18"/>
      <c r="W752" s="18">
        <f t="shared" si="15"/>
        <v>0</v>
      </c>
      <c r="X752" s="18"/>
      <c r="Y752" s="18"/>
      <c r="Z752" s="275"/>
    </row>
    <row r="753" spans="1:26">
      <c r="C753" s="48" t="s">
        <v>1222</v>
      </c>
      <c r="D753" s="48" t="s">
        <v>1222</v>
      </c>
      <c r="E753" s="18" t="s">
        <v>1217</v>
      </c>
      <c r="F753" s="526" t="s">
        <v>1218</v>
      </c>
      <c r="G753" s="283" t="s">
        <v>1860</v>
      </c>
      <c r="H753" s="527" t="s">
        <v>539</v>
      </c>
      <c r="I753" s="13" t="s">
        <v>1371</v>
      </c>
      <c r="J753" s="34" t="s">
        <v>1437</v>
      </c>
      <c r="L753" s="32">
        <v>16.350000000000001</v>
      </c>
      <c r="M753" s="32">
        <v>16.350000000000001</v>
      </c>
      <c r="N753" s="196">
        <v>2</v>
      </c>
      <c r="P753" s="13" t="s">
        <v>268</v>
      </c>
      <c r="Q753" s="13" t="s">
        <v>457</v>
      </c>
      <c r="R753" s="13" t="s">
        <v>573</v>
      </c>
      <c r="S753" s="19" t="s">
        <v>360</v>
      </c>
      <c r="T753" s="18">
        <v>0</v>
      </c>
      <c r="U753" s="18"/>
      <c r="V753" s="18"/>
      <c r="W753" s="18">
        <f t="shared" si="15"/>
        <v>0</v>
      </c>
      <c r="X753" s="18"/>
      <c r="Y753" s="18"/>
      <c r="Z753" s="275"/>
    </row>
    <row r="754" spans="1:26">
      <c r="C754" s="48" t="s">
        <v>1222</v>
      </c>
      <c r="D754" s="48" t="s">
        <v>1222</v>
      </c>
      <c r="E754" s="18" t="s">
        <v>1217</v>
      </c>
      <c r="F754" s="526" t="s">
        <v>1218</v>
      </c>
      <c r="G754" s="283" t="s">
        <v>1860</v>
      </c>
      <c r="H754" s="527" t="s">
        <v>539</v>
      </c>
      <c r="I754" s="13" t="s">
        <v>1371</v>
      </c>
      <c r="J754" s="34" t="s">
        <v>1437</v>
      </c>
      <c r="L754" s="32">
        <v>16.350000000000001</v>
      </c>
      <c r="M754" s="32">
        <v>16.350000000000001</v>
      </c>
      <c r="N754" s="196">
        <v>2</v>
      </c>
      <c r="P754" s="13" t="s">
        <v>268</v>
      </c>
      <c r="Q754" s="13" t="s">
        <v>457</v>
      </c>
      <c r="R754" s="13" t="s">
        <v>573</v>
      </c>
      <c r="S754" s="19" t="s">
        <v>360</v>
      </c>
      <c r="T754" s="18">
        <v>0</v>
      </c>
      <c r="U754" s="18"/>
      <c r="V754" s="18"/>
      <c r="W754" s="18">
        <f t="shared" si="15"/>
        <v>0</v>
      </c>
      <c r="X754" s="18"/>
      <c r="Y754" s="18"/>
      <c r="Z754" s="275"/>
    </row>
    <row r="755" spans="1:26">
      <c r="C755" s="48" t="s">
        <v>1222</v>
      </c>
      <c r="D755" s="48" t="s">
        <v>1222</v>
      </c>
      <c r="E755" s="18" t="s">
        <v>1217</v>
      </c>
      <c r="F755" s="526" t="s">
        <v>1218</v>
      </c>
      <c r="G755" s="283" t="s">
        <v>1860</v>
      </c>
      <c r="H755" s="527" t="s">
        <v>539</v>
      </c>
      <c r="I755" s="555" t="s">
        <v>192</v>
      </c>
      <c r="J755" s="34" t="s">
        <v>1437</v>
      </c>
      <c r="L755" s="32">
        <v>5.26</v>
      </c>
      <c r="M755" s="32">
        <v>5.26</v>
      </c>
      <c r="N755" s="213"/>
      <c r="P755" s="13" t="s">
        <v>572</v>
      </c>
      <c r="Q755" s="13" t="s">
        <v>572</v>
      </c>
      <c r="R755" s="13" t="s">
        <v>573</v>
      </c>
      <c r="S755" s="19" t="s">
        <v>100</v>
      </c>
      <c r="T755" s="18">
        <v>0</v>
      </c>
      <c r="U755" s="18"/>
      <c r="V755" s="18"/>
      <c r="W755" s="18">
        <f t="shared" si="15"/>
        <v>0</v>
      </c>
      <c r="X755" s="18"/>
      <c r="Y755" s="18"/>
      <c r="Z755" s="275"/>
    </row>
    <row r="756" spans="1:26">
      <c r="C756" s="48" t="s">
        <v>1222</v>
      </c>
      <c r="D756" s="48" t="s">
        <v>1222</v>
      </c>
      <c r="E756" s="18" t="s">
        <v>1217</v>
      </c>
      <c r="F756" s="526" t="s">
        <v>1218</v>
      </c>
      <c r="G756" s="283" t="s">
        <v>1860</v>
      </c>
      <c r="H756" s="527" t="s">
        <v>539</v>
      </c>
      <c r="I756" s="13" t="s">
        <v>1371</v>
      </c>
      <c r="J756" s="34" t="s">
        <v>1437</v>
      </c>
      <c r="L756" s="32">
        <v>16.350000000000001</v>
      </c>
      <c r="M756" s="32">
        <v>16.350000000000001</v>
      </c>
      <c r="N756" s="196">
        <v>2</v>
      </c>
      <c r="P756" s="13" t="s">
        <v>268</v>
      </c>
      <c r="Q756" s="13" t="s">
        <v>457</v>
      </c>
      <c r="R756" s="13" t="s">
        <v>573</v>
      </c>
      <c r="S756" s="19" t="s">
        <v>360</v>
      </c>
      <c r="T756" s="18">
        <v>0</v>
      </c>
      <c r="U756" s="18"/>
      <c r="V756" s="18"/>
      <c r="W756" s="18">
        <f t="shared" si="15"/>
        <v>0</v>
      </c>
      <c r="X756" s="18"/>
      <c r="Y756" s="18"/>
      <c r="Z756" s="275"/>
    </row>
    <row r="757" spans="1:26">
      <c r="C757" s="48" t="s">
        <v>1222</v>
      </c>
      <c r="D757" s="48" t="s">
        <v>1222</v>
      </c>
      <c r="E757" s="18" t="s">
        <v>1217</v>
      </c>
      <c r="F757" s="526" t="s">
        <v>1218</v>
      </c>
      <c r="G757" s="283" t="s">
        <v>1860</v>
      </c>
      <c r="H757" s="527" t="s">
        <v>539</v>
      </c>
      <c r="I757" s="13" t="s">
        <v>1371</v>
      </c>
      <c r="J757" s="34" t="s">
        <v>1437</v>
      </c>
      <c r="L757" s="32">
        <v>16.350000000000001</v>
      </c>
      <c r="M757" s="32">
        <v>16.350000000000001</v>
      </c>
      <c r="N757" s="196">
        <v>2</v>
      </c>
      <c r="P757" s="13" t="s">
        <v>268</v>
      </c>
      <c r="Q757" s="13" t="s">
        <v>457</v>
      </c>
      <c r="R757" s="13" t="s">
        <v>573</v>
      </c>
      <c r="S757" s="19" t="s">
        <v>360</v>
      </c>
      <c r="T757" s="18">
        <v>0</v>
      </c>
      <c r="U757" s="18"/>
      <c r="V757" s="18"/>
      <c r="W757" s="18">
        <f t="shared" si="15"/>
        <v>0</v>
      </c>
      <c r="X757" s="18"/>
      <c r="Y757" s="18"/>
      <c r="Z757" s="275"/>
    </row>
    <row r="758" spans="1:26">
      <c r="C758" s="48" t="s">
        <v>1222</v>
      </c>
      <c r="D758" s="48" t="s">
        <v>1222</v>
      </c>
      <c r="E758" s="18" t="s">
        <v>1217</v>
      </c>
      <c r="F758" s="526" t="s">
        <v>1218</v>
      </c>
      <c r="G758" s="283" t="s">
        <v>1860</v>
      </c>
      <c r="H758" s="527" t="s">
        <v>539</v>
      </c>
      <c r="I758" s="555" t="s">
        <v>192</v>
      </c>
      <c r="J758" s="34" t="s">
        <v>1437</v>
      </c>
      <c r="L758" s="32">
        <v>5.26</v>
      </c>
      <c r="M758" s="32">
        <v>5.26</v>
      </c>
      <c r="N758" s="213"/>
      <c r="P758" s="13" t="s">
        <v>572</v>
      </c>
      <c r="Q758" s="13" t="s">
        <v>572</v>
      </c>
      <c r="R758" s="13" t="s">
        <v>573</v>
      </c>
      <c r="S758" s="19" t="s">
        <v>100</v>
      </c>
      <c r="T758" s="18">
        <v>0</v>
      </c>
      <c r="U758" s="18"/>
      <c r="V758" s="18"/>
      <c r="W758" s="18">
        <f t="shared" si="15"/>
        <v>0</v>
      </c>
      <c r="X758" s="18"/>
      <c r="Y758" s="18"/>
      <c r="Z758" s="275"/>
    </row>
    <row r="759" spans="1:26">
      <c r="C759" s="48" t="s">
        <v>1222</v>
      </c>
      <c r="D759" s="48" t="s">
        <v>1222</v>
      </c>
      <c r="E759" s="18" t="s">
        <v>1217</v>
      </c>
      <c r="F759" s="526" t="s">
        <v>1218</v>
      </c>
      <c r="G759" s="283" t="s">
        <v>1860</v>
      </c>
      <c r="H759" s="527" t="s">
        <v>539</v>
      </c>
      <c r="I759" s="13" t="s">
        <v>1371</v>
      </c>
      <c r="J759" s="34" t="s">
        <v>1437</v>
      </c>
      <c r="L759" s="32">
        <v>16.350000000000001</v>
      </c>
      <c r="M759" s="32">
        <v>16.350000000000001</v>
      </c>
      <c r="N759" s="196">
        <v>2</v>
      </c>
      <c r="P759" s="13" t="s">
        <v>268</v>
      </c>
      <c r="Q759" s="13" t="s">
        <v>457</v>
      </c>
      <c r="R759" s="13" t="s">
        <v>573</v>
      </c>
      <c r="S759" s="19" t="s">
        <v>360</v>
      </c>
      <c r="T759" s="18">
        <v>0</v>
      </c>
      <c r="U759" s="18"/>
      <c r="V759" s="18"/>
      <c r="W759" s="18">
        <f t="shared" si="15"/>
        <v>0</v>
      </c>
      <c r="X759" s="18"/>
      <c r="Y759" s="18"/>
      <c r="Z759" s="275"/>
    </row>
    <row r="760" spans="1:26">
      <c r="A760" s="2">
        <f>SUM(L578:L760)</f>
        <v>2745.3899999999981</v>
      </c>
      <c r="C760" s="48" t="s">
        <v>1222</v>
      </c>
      <c r="D760" s="48" t="s">
        <v>1222</v>
      </c>
      <c r="E760" s="18" t="s">
        <v>1217</v>
      </c>
      <c r="F760" s="526" t="s">
        <v>1218</v>
      </c>
      <c r="G760" s="283" t="s">
        <v>1860</v>
      </c>
      <c r="H760" s="527" t="s">
        <v>539</v>
      </c>
      <c r="I760" s="13" t="s">
        <v>1371</v>
      </c>
      <c r="J760" s="34" t="s">
        <v>1437</v>
      </c>
      <c r="L760" s="32">
        <v>16.350000000000001</v>
      </c>
      <c r="M760" s="32">
        <v>16.350000000000001</v>
      </c>
      <c r="N760" s="196">
        <v>2</v>
      </c>
      <c r="P760" s="13" t="s">
        <v>268</v>
      </c>
      <c r="Q760" s="13" t="s">
        <v>457</v>
      </c>
      <c r="R760" s="13" t="s">
        <v>573</v>
      </c>
      <c r="S760" s="19" t="s">
        <v>360</v>
      </c>
      <c r="T760" s="18">
        <v>0</v>
      </c>
      <c r="U760" s="18"/>
      <c r="V760" s="18"/>
      <c r="W760" s="18">
        <f t="shared" si="15"/>
        <v>0</v>
      </c>
      <c r="X760" s="18"/>
      <c r="Y760" s="18"/>
      <c r="Z760" s="275"/>
    </row>
    <row r="761" spans="1:26">
      <c r="B761" s="2"/>
      <c r="C761" s="48" t="s">
        <v>1222</v>
      </c>
      <c r="D761" s="48" t="s">
        <v>1222</v>
      </c>
      <c r="E761" s="18" t="s">
        <v>1217</v>
      </c>
      <c r="F761" s="513" t="s">
        <v>1219</v>
      </c>
      <c r="G761" s="284"/>
      <c r="H761" s="285" t="s">
        <v>219</v>
      </c>
      <c r="I761" s="39" t="s">
        <v>194</v>
      </c>
      <c r="J761" s="34" t="s">
        <v>454</v>
      </c>
      <c r="L761" s="32">
        <v>121.41</v>
      </c>
      <c r="M761" s="32">
        <v>121.41</v>
      </c>
      <c r="P761" s="13" t="s">
        <v>546</v>
      </c>
      <c r="Q761" s="13" t="s">
        <v>269</v>
      </c>
      <c r="R761" s="13" t="s">
        <v>547</v>
      </c>
      <c r="S761" s="18" t="s">
        <v>100</v>
      </c>
      <c r="T761" s="18">
        <v>0</v>
      </c>
      <c r="U761" s="18"/>
      <c r="V761" s="18"/>
      <c r="W761" s="18">
        <f t="shared" si="15"/>
        <v>0</v>
      </c>
      <c r="X761" s="18"/>
      <c r="Y761" s="18"/>
      <c r="Z761" s="275" t="e">
        <f>SUM(#REF!)</f>
        <v>#REF!</v>
      </c>
    </row>
    <row r="762" spans="1:26">
      <c r="C762" s="48" t="s">
        <v>1222</v>
      </c>
      <c r="D762" s="48" t="s">
        <v>1222</v>
      </c>
      <c r="E762" s="18" t="s">
        <v>1217</v>
      </c>
      <c r="F762" s="513" t="s">
        <v>1219</v>
      </c>
      <c r="G762" s="284" t="s">
        <v>1037</v>
      </c>
      <c r="H762" s="285" t="s">
        <v>219</v>
      </c>
      <c r="I762" s="13" t="s">
        <v>595</v>
      </c>
      <c r="J762" s="34" t="s">
        <v>540</v>
      </c>
      <c r="L762" s="32">
        <v>480</v>
      </c>
      <c r="M762" s="32">
        <v>480</v>
      </c>
      <c r="P762" s="13" t="s">
        <v>546</v>
      </c>
      <c r="Q762" s="13" t="s">
        <v>269</v>
      </c>
      <c r="R762" s="13" t="s">
        <v>547</v>
      </c>
      <c r="S762" s="18" t="s">
        <v>100</v>
      </c>
      <c r="T762" s="18">
        <v>0</v>
      </c>
      <c r="U762" s="18"/>
      <c r="V762" s="18"/>
      <c r="W762" s="18">
        <f t="shared" ref="W762:W799" si="16">AVERAGE(T762:V762)</f>
        <v>0</v>
      </c>
      <c r="X762" s="18"/>
      <c r="Y762" s="18"/>
      <c r="Z762" s="275"/>
    </row>
    <row r="763" spans="1:26">
      <c r="C763" s="48" t="s">
        <v>1222</v>
      </c>
      <c r="D763" s="48" t="s">
        <v>1222</v>
      </c>
      <c r="E763" s="18" t="s">
        <v>1217</v>
      </c>
      <c r="F763" s="513" t="s">
        <v>1219</v>
      </c>
      <c r="G763" s="284" t="s">
        <v>1037</v>
      </c>
      <c r="H763" s="285" t="s">
        <v>219</v>
      </c>
      <c r="I763" s="13" t="s">
        <v>594</v>
      </c>
      <c r="J763" s="34" t="s">
        <v>541</v>
      </c>
      <c r="L763" s="32">
        <v>33.28</v>
      </c>
      <c r="M763" s="32">
        <v>33.28</v>
      </c>
      <c r="N763" s="196">
        <v>100</v>
      </c>
      <c r="P763" s="13" t="s">
        <v>599</v>
      </c>
      <c r="Q763" s="13" t="s">
        <v>269</v>
      </c>
      <c r="R763" s="13" t="s">
        <v>547</v>
      </c>
      <c r="S763" s="18" t="s">
        <v>100</v>
      </c>
      <c r="T763" s="18">
        <v>0</v>
      </c>
      <c r="U763" s="18"/>
      <c r="V763" s="18"/>
      <c r="W763" s="18">
        <f t="shared" si="16"/>
        <v>0</v>
      </c>
      <c r="X763" s="18"/>
      <c r="Y763" s="18"/>
      <c r="Z763" s="275"/>
    </row>
    <row r="764" spans="1:26">
      <c r="C764" s="48" t="s">
        <v>1222</v>
      </c>
      <c r="D764" s="48" t="s">
        <v>1222</v>
      </c>
      <c r="E764" s="18" t="s">
        <v>1217</v>
      </c>
      <c r="F764" s="513" t="s">
        <v>1219</v>
      </c>
      <c r="G764" s="284" t="s">
        <v>1037</v>
      </c>
      <c r="H764" s="285" t="s">
        <v>219</v>
      </c>
      <c r="I764" s="13" t="s">
        <v>594</v>
      </c>
      <c r="J764" s="34" t="s">
        <v>542</v>
      </c>
      <c r="L764" s="32">
        <v>38.18</v>
      </c>
      <c r="M764" s="32">
        <v>38.18</v>
      </c>
      <c r="N764" s="196">
        <v>100</v>
      </c>
      <c r="P764" s="13" t="s">
        <v>599</v>
      </c>
      <c r="Q764" s="13" t="s">
        <v>269</v>
      </c>
      <c r="R764" s="13" t="s">
        <v>547</v>
      </c>
      <c r="S764" s="18" t="s">
        <v>100</v>
      </c>
      <c r="T764" s="18">
        <v>0</v>
      </c>
      <c r="U764" s="18"/>
      <c r="V764" s="18"/>
      <c r="W764" s="18">
        <f t="shared" si="16"/>
        <v>0</v>
      </c>
      <c r="X764" s="18"/>
      <c r="Y764" s="18"/>
      <c r="Z764" s="275"/>
    </row>
    <row r="765" spans="1:26">
      <c r="C765" s="48" t="s">
        <v>1222</v>
      </c>
      <c r="D765" s="48" t="s">
        <v>1222</v>
      </c>
      <c r="E765" s="18" t="s">
        <v>1217</v>
      </c>
      <c r="F765" s="513" t="s">
        <v>1219</v>
      </c>
      <c r="G765" s="284"/>
      <c r="H765" s="285" t="s">
        <v>219</v>
      </c>
      <c r="I765" s="13" t="s">
        <v>192</v>
      </c>
      <c r="J765" s="34" t="s">
        <v>513</v>
      </c>
      <c r="L765" s="32">
        <v>2.2400000000000002</v>
      </c>
      <c r="M765" s="32">
        <v>2.2400000000000002</v>
      </c>
      <c r="P765" s="13" t="s">
        <v>572</v>
      </c>
      <c r="Q765" s="13" t="s">
        <v>572</v>
      </c>
      <c r="R765" s="13" t="s">
        <v>548</v>
      </c>
      <c r="S765" s="18" t="s">
        <v>100</v>
      </c>
      <c r="T765" s="18">
        <v>0</v>
      </c>
      <c r="U765" s="18"/>
      <c r="V765" s="18"/>
      <c r="W765" s="18">
        <f t="shared" si="16"/>
        <v>0</v>
      </c>
      <c r="X765" s="18"/>
      <c r="Y765" s="18"/>
      <c r="Z765" s="275"/>
    </row>
    <row r="766" spans="1:26">
      <c r="C766" s="48" t="s">
        <v>1222</v>
      </c>
      <c r="D766" s="48" t="s">
        <v>1222</v>
      </c>
      <c r="E766" s="18" t="s">
        <v>1217</v>
      </c>
      <c r="F766" s="513" t="s">
        <v>1219</v>
      </c>
      <c r="G766" s="284"/>
      <c r="H766" s="285" t="s">
        <v>219</v>
      </c>
      <c r="I766" s="13" t="s">
        <v>192</v>
      </c>
      <c r="J766" s="34" t="s">
        <v>515</v>
      </c>
      <c r="L766" s="32">
        <v>2.2400000000000002</v>
      </c>
      <c r="M766" s="32">
        <v>2.2400000000000002</v>
      </c>
      <c r="P766" s="13" t="s">
        <v>572</v>
      </c>
      <c r="Q766" s="13" t="s">
        <v>572</v>
      </c>
      <c r="R766" s="13" t="s">
        <v>548</v>
      </c>
      <c r="S766" s="18" t="s">
        <v>100</v>
      </c>
      <c r="T766" s="18">
        <v>0</v>
      </c>
      <c r="U766" s="18"/>
      <c r="V766" s="18"/>
      <c r="W766" s="18">
        <f t="shared" si="16"/>
        <v>0</v>
      </c>
      <c r="X766" s="18"/>
      <c r="Y766" s="18"/>
      <c r="Z766" s="275"/>
    </row>
    <row r="767" spans="1:26">
      <c r="C767" s="48" t="s">
        <v>1222</v>
      </c>
      <c r="D767" s="48" t="s">
        <v>1222</v>
      </c>
      <c r="E767" s="18" t="s">
        <v>1217</v>
      </c>
      <c r="F767" s="513" t="s">
        <v>1219</v>
      </c>
      <c r="G767" s="284"/>
      <c r="H767" s="285" t="s">
        <v>219</v>
      </c>
      <c r="I767" s="13" t="s">
        <v>192</v>
      </c>
      <c r="J767" s="34" t="s">
        <v>543</v>
      </c>
      <c r="L767" s="32">
        <v>16.3</v>
      </c>
      <c r="M767" s="32">
        <v>16.3</v>
      </c>
      <c r="P767" s="13" t="s">
        <v>572</v>
      </c>
      <c r="Q767" s="13" t="s">
        <v>572</v>
      </c>
      <c r="R767" s="13" t="s">
        <v>548</v>
      </c>
      <c r="S767" s="18" t="s">
        <v>100</v>
      </c>
      <c r="T767" s="18">
        <v>0</v>
      </c>
      <c r="U767" s="18"/>
      <c r="V767" s="18"/>
      <c r="W767" s="18">
        <f t="shared" si="16"/>
        <v>0</v>
      </c>
      <c r="X767" s="18"/>
      <c r="Y767" s="18"/>
      <c r="Z767" s="275"/>
    </row>
    <row r="768" spans="1:26">
      <c r="C768" s="48" t="s">
        <v>1222</v>
      </c>
      <c r="D768" s="48" t="s">
        <v>1222</v>
      </c>
      <c r="E768" s="18" t="s">
        <v>1217</v>
      </c>
      <c r="F768" s="513" t="s">
        <v>1219</v>
      </c>
      <c r="G768" s="284"/>
      <c r="H768" s="285" t="s">
        <v>219</v>
      </c>
      <c r="I768" s="13" t="s">
        <v>192</v>
      </c>
      <c r="J768" s="34" t="s">
        <v>544</v>
      </c>
      <c r="L768" s="32">
        <v>16.3</v>
      </c>
      <c r="M768" s="32">
        <v>16.3</v>
      </c>
      <c r="P768" s="13" t="s">
        <v>572</v>
      </c>
      <c r="Q768" s="13" t="s">
        <v>572</v>
      </c>
      <c r="R768" s="13" t="s">
        <v>548</v>
      </c>
      <c r="S768" s="18" t="s">
        <v>100</v>
      </c>
      <c r="T768" s="18">
        <v>0</v>
      </c>
      <c r="U768" s="18"/>
      <c r="V768" s="18"/>
      <c r="W768" s="18">
        <f t="shared" si="16"/>
        <v>0</v>
      </c>
      <c r="X768" s="18"/>
      <c r="Y768" s="18"/>
      <c r="Z768" s="275"/>
    </row>
    <row r="769" spans="1:26">
      <c r="A769">
        <f>SUM(L761:L769)</f>
        <v>712.47999999999979</v>
      </c>
      <c r="C769" s="48" t="s">
        <v>1222</v>
      </c>
      <c r="D769" s="48" t="s">
        <v>1222</v>
      </c>
      <c r="E769" s="18" t="s">
        <v>1217</v>
      </c>
      <c r="F769" s="513" t="s">
        <v>1219</v>
      </c>
      <c r="G769" s="284"/>
      <c r="H769" s="285" t="s">
        <v>219</v>
      </c>
      <c r="I769" s="13" t="s">
        <v>355</v>
      </c>
      <c r="J769" s="34" t="s">
        <v>545</v>
      </c>
      <c r="L769" s="32">
        <v>2.5299999999999998</v>
      </c>
      <c r="M769" s="32">
        <v>2.5299999999999998</v>
      </c>
      <c r="P769" s="13" t="s">
        <v>268</v>
      </c>
      <c r="Q769" s="13" t="s">
        <v>457</v>
      </c>
      <c r="R769" s="13" t="s">
        <v>548</v>
      </c>
      <c r="S769" s="18" t="s">
        <v>100</v>
      </c>
      <c r="T769" s="18">
        <v>0</v>
      </c>
      <c r="U769" s="18"/>
      <c r="V769" s="18"/>
      <c r="W769" s="18">
        <f t="shared" si="16"/>
        <v>0</v>
      </c>
      <c r="X769" s="18"/>
      <c r="Y769" s="18"/>
      <c r="Z769" s="275"/>
    </row>
    <row r="770" spans="1:26">
      <c r="B770" s="2"/>
      <c r="C770" s="48" t="s">
        <v>1222</v>
      </c>
      <c r="D770" s="48" t="s">
        <v>1222</v>
      </c>
      <c r="E770" s="18" t="s">
        <v>1217</v>
      </c>
      <c r="F770" s="522" t="s">
        <v>1220</v>
      </c>
      <c r="G770" s="284"/>
      <c r="H770" s="285" t="s">
        <v>219</v>
      </c>
      <c r="I770" s="39" t="s">
        <v>194</v>
      </c>
      <c r="J770" s="34" t="s">
        <v>454</v>
      </c>
      <c r="L770" s="32">
        <v>121.41</v>
      </c>
      <c r="M770" s="32">
        <v>121.41</v>
      </c>
      <c r="P770" s="13" t="s">
        <v>546</v>
      </c>
      <c r="Q770" s="13" t="s">
        <v>269</v>
      </c>
      <c r="R770" s="13" t="s">
        <v>547</v>
      </c>
      <c r="S770" s="18" t="s">
        <v>100</v>
      </c>
      <c r="T770" s="18">
        <v>0</v>
      </c>
      <c r="U770" s="18"/>
      <c r="V770" s="18"/>
      <c r="W770" s="18">
        <f t="shared" si="16"/>
        <v>0</v>
      </c>
      <c r="X770" s="18"/>
      <c r="Y770" s="18"/>
      <c r="Z770" s="275" t="e">
        <f>SUM(#REF!)</f>
        <v>#REF!</v>
      </c>
    </row>
    <row r="771" spans="1:26">
      <c r="C771" s="48" t="s">
        <v>1222</v>
      </c>
      <c r="D771" s="48" t="s">
        <v>1222</v>
      </c>
      <c r="E771" s="18" t="s">
        <v>1217</v>
      </c>
      <c r="F771" s="522" t="s">
        <v>1220</v>
      </c>
      <c r="G771" s="284" t="s">
        <v>1037</v>
      </c>
      <c r="H771" s="285" t="s">
        <v>219</v>
      </c>
      <c r="I771" s="13" t="s">
        <v>595</v>
      </c>
      <c r="J771" s="34" t="s">
        <v>540</v>
      </c>
      <c r="L771" s="32">
        <v>480</v>
      </c>
      <c r="M771" s="32">
        <v>480</v>
      </c>
      <c r="P771" s="13" t="s">
        <v>546</v>
      </c>
      <c r="Q771" s="13" t="s">
        <v>269</v>
      </c>
      <c r="R771" s="13" t="s">
        <v>547</v>
      </c>
      <c r="S771" s="18" t="s">
        <v>100</v>
      </c>
      <c r="T771" s="18">
        <v>0</v>
      </c>
      <c r="U771" s="18"/>
      <c r="V771" s="18"/>
      <c r="W771" s="18">
        <f t="shared" ref="W771:W778" si="17">AVERAGE(T771:V771)</f>
        <v>0</v>
      </c>
      <c r="X771" s="18"/>
      <c r="Y771" s="18"/>
      <c r="Z771" s="275"/>
    </row>
    <row r="772" spans="1:26">
      <c r="C772" s="48" t="s">
        <v>1222</v>
      </c>
      <c r="D772" s="48" t="s">
        <v>1222</v>
      </c>
      <c r="E772" s="18" t="s">
        <v>1217</v>
      </c>
      <c r="F772" s="522" t="s">
        <v>1220</v>
      </c>
      <c r="G772" s="284" t="s">
        <v>1037</v>
      </c>
      <c r="H772" s="285" t="s">
        <v>219</v>
      </c>
      <c r="I772" s="13" t="s">
        <v>594</v>
      </c>
      <c r="J772" s="34" t="s">
        <v>541</v>
      </c>
      <c r="L772" s="32">
        <v>33.28</v>
      </c>
      <c r="M772" s="32">
        <v>33.28</v>
      </c>
      <c r="N772" s="196">
        <v>100</v>
      </c>
      <c r="P772" s="13" t="s">
        <v>599</v>
      </c>
      <c r="Q772" s="13" t="s">
        <v>269</v>
      </c>
      <c r="R772" s="13" t="s">
        <v>547</v>
      </c>
      <c r="S772" s="18" t="s">
        <v>100</v>
      </c>
      <c r="T772" s="18">
        <v>0</v>
      </c>
      <c r="U772" s="18"/>
      <c r="V772" s="18"/>
      <c r="W772" s="18">
        <f t="shared" si="17"/>
        <v>0</v>
      </c>
      <c r="X772" s="18"/>
      <c r="Y772" s="18"/>
      <c r="Z772" s="275"/>
    </row>
    <row r="773" spans="1:26">
      <c r="C773" s="48" t="s">
        <v>1222</v>
      </c>
      <c r="D773" s="48" t="s">
        <v>1222</v>
      </c>
      <c r="E773" s="18" t="s">
        <v>1217</v>
      </c>
      <c r="F773" s="522" t="s">
        <v>1220</v>
      </c>
      <c r="G773" s="284" t="s">
        <v>1037</v>
      </c>
      <c r="H773" s="285" t="s">
        <v>219</v>
      </c>
      <c r="I773" s="13" t="s">
        <v>594</v>
      </c>
      <c r="J773" s="34" t="s">
        <v>542</v>
      </c>
      <c r="L773" s="32">
        <v>38.18</v>
      </c>
      <c r="M773" s="32">
        <v>38.18</v>
      </c>
      <c r="N773" s="196">
        <v>100</v>
      </c>
      <c r="P773" s="13" t="s">
        <v>599</v>
      </c>
      <c r="Q773" s="13" t="s">
        <v>269</v>
      </c>
      <c r="R773" s="13" t="s">
        <v>547</v>
      </c>
      <c r="S773" s="18" t="s">
        <v>100</v>
      </c>
      <c r="T773" s="18">
        <v>0</v>
      </c>
      <c r="U773" s="18"/>
      <c r="V773" s="18"/>
      <c r="W773" s="18">
        <f t="shared" si="17"/>
        <v>0</v>
      </c>
      <c r="X773" s="18"/>
      <c r="Y773" s="18"/>
      <c r="Z773" s="275"/>
    </row>
    <row r="774" spans="1:26">
      <c r="C774" s="48" t="s">
        <v>1222</v>
      </c>
      <c r="D774" s="48" t="s">
        <v>1222</v>
      </c>
      <c r="E774" s="18" t="s">
        <v>1217</v>
      </c>
      <c r="F774" s="522" t="s">
        <v>1220</v>
      </c>
      <c r="G774" s="284"/>
      <c r="H774" s="285" t="s">
        <v>219</v>
      </c>
      <c r="I774" s="13" t="s">
        <v>192</v>
      </c>
      <c r="J774" s="34" t="s">
        <v>513</v>
      </c>
      <c r="L774" s="32">
        <v>2.2400000000000002</v>
      </c>
      <c r="M774" s="32">
        <v>2.2400000000000002</v>
      </c>
      <c r="P774" s="13" t="s">
        <v>572</v>
      </c>
      <c r="Q774" s="13" t="s">
        <v>572</v>
      </c>
      <c r="R774" s="13" t="s">
        <v>548</v>
      </c>
      <c r="S774" s="18" t="s">
        <v>100</v>
      </c>
      <c r="T774" s="18">
        <v>0</v>
      </c>
      <c r="U774" s="18"/>
      <c r="V774" s="18"/>
      <c r="W774" s="18">
        <f t="shared" si="17"/>
        <v>0</v>
      </c>
      <c r="X774" s="18"/>
      <c r="Y774" s="18"/>
      <c r="Z774" s="275"/>
    </row>
    <row r="775" spans="1:26">
      <c r="C775" s="48" t="s">
        <v>1222</v>
      </c>
      <c r="D775" s="48" t="s">
        <v>1222</v>
      </c>
      <c r="E775" s="18" t="s">
        <v>1217</v>
      </c>
      <c r="F775" s="522" t="s">
        <v>1220</v>
      </c>
      <c r="G775" s="284"/>
      <c r="H775" s="285" t="s">
        <v>219</v>
      </c>
      <c r="I775" s="13" t="s">
        <v>192</v>
      </c>
      <c r="J775" s="34" t="s">
        <v>515</v>
      </c>
      <c r="L775" s="32">
        <v>2.2400000000000002</v>
      </c>
      <c r="M775" s="32">
        <v>2.2400000000000002</v>
      </c>
      <c r="P775" s="13" t="s">
        <v>572</v>
      </c>
      <c r="Q775" s="13" t="s">
        <v>572</v>
      </c>
      <c r="R775" s="13" t="s">
        <v>548</v>
      </c>
      <c r="S775" s="18" t="s">
        <v>100</v>
      </c>
      <c r="T775" s="18">
        <v>0</v>
      </c>
      <c r="U775" s="18"/>
      <c r="V775" s="18"/>
      <c r="W775" s="18">
        <f t="shared" si="17"/>
        <v>0</v>
      </c>
      <c r="X775" s="18"/>
      <c r="Y775" s="18"/>
      <c r="Z775" s="275"/>
    </row>
    <row r="776" spans="1:26">
      <c r="C776" s="48" t="s">
        <v>1222</v>
      </c>
      <c r="D776" s="48" t="s">
        <v>1222</v>
      </c>
      <c r="E776" s="18" t="s">
        <v>1217</v>
      </c>
      <c r="F776" s="522" t="s">
        <v>1220</v>
      </c>
      <c r="G776" s="284"/>
      <c r="H776" s="285" t="s">
        <v>219</v>
      </c>
      <c r="I776" s="13" t="s">
        <v>192</v>
      </c>
      <c r="J776" s="34" t="s">
        <v>543</v>
      </c>
      <c r="L776" s="32">
        <v>16.3</v>
      </c>
      <c r="M776" s="32">
        <v>16.3</v>
      </c>
      <c r="P776" s="13" t="s">
        <v>572</v>
      </c>
      <c r="Q776" s="13" t="s">
        <v>572</v>
      </c>
      <c r="R776" s="13" t="s">
        <v>548</v>
      </c>
      <c r="S776" s="18" t="s">
        <v>100</v>
      </c>
      <c r="T776" s="18">
        <v>0</v>
      </c>
      <c r="U776" s="18"/>
      <c r="V776" s="18"/>
      <c r="W776" s="18">
        <f t="shared" si="17"/>
        <v>0</v>
      </c>
      <c r="X776" s="18"/>
      <c r="Y776" s="18"/>
      <c r="Z776" s="275"/>
    </row>
    <row r="777" spans="1:26">
      <c r="C777" s="48" t="s">
        <v>1222</v>
      </c>
      <c r="D777" s="48" t="s">
        <v>1222</v>
      </c>
      <c r="E777" s="18" t="s">
        <v>1217</v>
      </c>
      <c r="F777" s="522" t="s">
        <v>1220</v>
      </c>
      <c r="G777" s="284"/>
      <c r="H777" s="285" t="s">
        <v>219</v>
      </c>
      <c r="I777" s="13" t="s">
        <v>192</v>
      </c>
      <c r="J777" s="34" t="s">
        <v>544</v>
      </c>
      <c r="L777" s="32">
        <v>16.3</v>
      </c>
      <c r="M777" s="32">
        <v>16.3</v>
      </c>
      <c r="P777" s="13" t="s">
        <v>572</v>
      </c>
      <c r="Q777" s="13" t="s">
        <v>572</v>
      </c>
      <c r="R777" s="13" t="s">
        <v>548</v>
      </c>
      <c r="S777" s="18" t="s">
        <v>100</v>
      </c>
      <c r="T777" s="18">
        <v>0</v>
      </c>
      <c r="U777" s="18"/>
      <c r="V777" s="18"/>
      <c r="W777" s="18">
        <f t="shared" si="17"/>
        <v>0</v>
      </c>
      <c r="X777" s="18"/>
      <c r="Y777" s="18"/>
      <c r="Z777" s="275"/>
    </row>
    <row r="778" spans="1:26">
      <c r="A778">
        <f>SUM(L770:L778)</f>
        <v>712.47999999999979</v>
      </c>
      <c r="C778" s="48" t="s">
        <v>1222</v>
      </c>
      <c r="D778" s="48" t="s">
        <v>1222</v>
      </c>
      <c r="E778" s="18" t="s">
        <v>1217</v>
      </c>
      <c r="F778" s="522" t="s">
        <v>1220</v>
      </c>
      <c r="G778" s="284"/>
      <c r="H778" s="285" t="s">
        <v>219</v>
      </c>
      <c r="I778" s="13" t="s">
        <v>355</v>
      </c>
      <c r="J778" s="34" t="s">
        <v>545</v>
      </c>
      <c r="L778" s="32">
        <v>2.5299999999999998</v>
      </c>
      <c r="M778" s="32">
        <v>2.5299999999999998</v>
      </c>
      <c r="P778" s="13" t="s">
        <v>268</v>
      </c>
      <c r="Q778" s="13" t="s">
        <v>457</v>
      </c>
      <c r="R778" s="13" t="s">
        <v>548</v>
      </c>
      <c r="S778" s="18" t="s">
        <v>100</v>
      </c>
      <c r="T778" s="18">
        <v>0</v>
      </c>
      <c r="U778" s="18"/>
      <c r="V778" s="18"/>
      <c r="W778" s="18">
        <f t="shared" si="17"/>
        <v>0</v>
      </c>
      <c r="X778" s="18"/>
      <c r="Y778" s="18"/>
      <c r="Z778" s="275"/>
    </row>
    <row r="779" spans="1:26">
      <c r="B779" s="2"/>
      <c r="C779" s="48" t="s">
        <v>1222</v>
      </c>
      <c r="D779" s="48" t="s">
        <v>1222</v>
      </c>
      <c r="E779" s="18" t="s">
        <v>1217</v>
      </c>
      <c r="F779" s="513" t="s">
        <v>564</v>
      </c>
      <c r="G779" s="13" t="s">
        <v>55</v>
      </c>
      <c r="H779" s="500" t="s">
        <v>219</v>
      </c>
      <c r="I779" s="13" t="s">
        <v>249</v>
      </c>
      <c r="J779" s="34" t="s">
        <v>222</v>
      </c>
      <c r="L779" s="32">
        <f>44.65</f>
        <v>44.65</v>
      </c>
      <c r="M779" s="32">
        <f>44.65</f>
        <v>44.65</v>
      </c>
      <c r="N779" s="196">
        <v>4</v>
      </c>
      <c r="P779" s="13" t="s">
        <v>268</v>
      </c>
      <c r="S779" s="37"/>
      <c r="T779" s="18">
        <v>0</v>
      </c>
      <c r="U779" s="18"/>
      <c r="V779" s="18"/>
      <c r="W779" s="18">
        <f t="shared" si="16"/>
        <v>0</v>
      </c>
      <c r="X779" s="18"/>
      <c r="Y779" s="18"/>
      <c r="Z779" s="275" t="e">
        <f>SUM(#REF!)</f>
        <v>#REF!</v>
      </c>
    </row>
    <row r="780" spans="1:26">
      <c r="C780" s="48" t="s">
        <v>1222</v>
      </c>
      <c r="D780" s="48" t="s">
        <v>1222</v>
      </c>
      <c r="E780" s="18" t="s">
        <v>1217</v>
      </c>
      <c r="F780" s="513" t="s">
        <v>564</v>
      </c>
      <c r="G780" s="13" t="s">
        <v>1882</v>
      </c>
      <c r="H780" s="500" t="s">
        <v>219</v>
      </c>
      <c r="I780" s="13" t="s">
        <v>1364</v>
      </c>
      <c r="J780" s="34" t="s">
        <v>1881</v>
      </c>
      <c r="L780" s="32">
        <v>21.6</v>
      </c>
      <c r="M780" s="32">
        <v>21.6</v>
      </c>
      <c r="N780" s="196">
        <v>7</v>
      </c>
      <c r="P780" s="13" t="s">
        <v>268</v>
      </c>
      <c r="S780" s="37"/>
      <c r="T780" s="18">
        <v>0</v>
      </c>
      <c r="U780" s="18"/>
      <c r="V780" s="18"/>
      <c r="W780" s="18">
        <f t="shared" si="16"/>
        <v>0</v>
      </c>
      <c r="X780" s="18"/>
      <c r="Y780" s="18"/>
      <c r="Z780" s="275"/>
    </row>
    <row r="781" spans="1:26">
      <c r="C781" s="48" t="s">
        <v>1222</v>
      </c>
      <c r="D781" s="48" t="s">
        <v>1222</v>
      </c>
      <c r="E781" s="18" t="s">
        <v>1217</v>
      </c>
      <c r="F781" s="513" t="s">
        <v>564</v>
      </c>
      <c r="H781" s="500" t="s">
        <v>219</v>
      </c>
      <c r="I781" s="13" t="s">
        <v>192</v>
      </c>
      <c r="J781" s="34" t="s">
        <v>245</v>
      </c>
      <c r="L781" s="32">
        <v>2.36</v>
      </c>
      <c r="M781" s="32">
        <v>2.36</v>
      </c>
      <c r="P781" s="13" t="s">
        <v>572</v>
      </c>
      <c r="S781" s="37"/>
      <c r="T781" s="18">
        <v>0</v>
      </c>
      <c r="U781" s="18"/>
      <c r="V781" s="18"/>
      <c r="W781" s="18">
        <f t="shared" si="16"/>
        <v>0</v>
      </c>
      <c r="X781" s="18"/>
      <c r="Y781" s="18"/>
      <c r="Z781" s="275"/>
    </row>
    <row r="782" spans="1:26">
      <c r="C782" s="48"/>
      <c r="D782" s="48"/>
      <c r="E782" s="18"/>
      <c r="F782" s="513" t="s">
        <v>564</v>
      </c>
      <c r="H782" s="500" t="s">
        <v>219</v>
      </c>
      <c r="I782" s="13" t="s">
        <v>194</v>
      </c>
      <c r="J782" s="34" t="s">
        <v>221</v>
      </c>
      <c r="L782" s="32">
        <v>2.36</v>
      </c>
      <c r="M782" s="32">
        <v>2.36</v>
      </c>
      <c r="P782" s="13" t="s">
        <v>268</v>
      </c>
      <c r="S782" s="37"/>
      <c r="T782" s="18"/>
      <c r="U782" s="18"/>
      <c r="V782" s="18"/>
      <c r="W782" s="18"/>
      <c r="X782" s="18"/>
      <c r="Y782" s="18"/>
      <c r="Z782" s="275"/>
    </row>
    <row r="783" spans="1:26">
      <c r="C783" s="48"/>
      <c r="D783" s="48"/>
      <c r="E783" s="18"/>
      <c r="F783" s="513" t="s">
        <v>564</v>
      </c>
      <c r="H783" s="500" t="s">
        <v>219</v>
      </c>
      <c r="I783" s="13" t="s">
        <v>194</v>
      </c>
      <c r="J783" s="34" t="s">
        <v>1384</v>
      </c>
      <c r="L783" s="32">
        <v>157.28</v>
      </c>
      <c r="M783" s="32">
        <v>157.28</v>
      </c>
      <c r="P783" s="13" t="s">
        <v>268</v>
      </c>
      <c r="S783" s="37"/>
      <c r="T783" s="18"/>
      <c r="U783" s="18"/>
      <c r="V783" s="18"/>
      <c r="W783" s="18"/>
      <c r="X783" s="18"/>
      <c r="Y783" s="18"/>
      <c r="Z783" s="275"/>
    </row>
    <row r="784" spans="1:26">
      <c r="C784" s="48"/>
      <c r="D784" s="48"/>
      <c r="E784" s="18"/>
      <c r="F784" s="513" t="s">
        <v>564</v>
      </c>
      <c r="H784" s="500" t="s">
        <v>219</v>
      </c>
      <c r="I784" s="13" t="s">
        <v>194</v>
      </c>
      <c r="J784" s="34" t="s">
        <v>1385</v>
      </c>
      <c r="L784" s="32">
        <v>118.58</v>
      </c>
      <c r="M784" s="32">
        <v>118.58</v>
      </c>
      <c r="P784" s="13" t="s">
        <v>268</v>
      </c>
      <c r="S784" s="37"/>
      <c r="T784" s="18"/>
      <c r="U784" s="18"/>
      <c r="V784" s="18"/>
      <c r="W784" s="18"/>
      <c r="X784" s="18"/>
      <c r="Y784" s="18"/>
      <c r="Z784" s="275"/>
    </row>
    <row r="785" spans="1:26">
      <c r="C785" s="48"/>
      <c r="D785" s="48"/>
      <c r="E785" s="18"/>
      <c r="F785" s="513" t="s">
        <v>564</v>
      </c>
      <c r="H785" s="500" t="s">
        <v>219</v>
      </c>
      <c r="I785" s="39" t="s">
        <v>1382</v>
      </c>
      <c r="J785" s="34" t="s">
        <v>1384</v>
      </c>
      <c r="L785" s="32">
        <v>43.68</v>
      </c>
      <c r="M785" s="32">
        <v>43.68</v>
      </c>
      <c r="P785" s="13" t="s">
        <v>268</v>
      </c>
      <c r="S785" s="37"/>
      <c r="T785" s="18"/>
      <c r="U785" s="18"/>
      <c r="V785" s="18"/>
      <c r="W785" s="18"/>
      <c r="X785" s="18"/>
      <c r="Y785" s="18"/>
      <c r="Z785" s="275"/>
    </row>
    <row r="786" spans="1:26">
      <c r="A786" s="2" t="e">
        <f>SUM(#REF!)</f>
        <v>#REF!</v>
      </c>
      <c r="C786" s="48" t="s">
        <v>1222</v>
      </c>
      <c r="D786" s="48" t="s">
        <v>1222</v>
      </c>
      <c r="E786" s="18" t="s">
        <v>1217</v>
      </c>
      <c r="F786" s="513" t="s">
        <v>564</v>
      </c>
      <c r="H786" s="500" t="s">
        <v>219</v>
      </c>
      <c r="I786" s="13" t="s">
        <v>355</v>
      </c>
      <c r="J786" s="34" t="s">
        <v>565</v>
      </c>
      <c r="L786" s="32">
        <f>6.3+10</f>
        <v>16.3</v>
      </c>
      <c r="M786" s="32">
        <f>6.3+10</f>
        <v>16.3</v>
      </c>
      <c r="P786" s="13" t="s">
        <v>268</v>
      </c>
      <c r="S786" s="37"/>
      <c r="T786" s="18">
        <v>0</v>
      </c>
      <c r="U786" s="18"/>
      <c r="V786" s="18"/>
      <c r="W786" s="18">
        <f t="shared" si="16"/>
        <v>0</v>
      </c>
      <c r="X786" s="18"/>
      <c r="Y786" s="18"/>
      <c r="Z786" s="275"/>
    </row>
    <row r="787" spans="1:26">
      <c r="C787" s="48"/>
      <c r="D787" s="48"/>
      <c r="E787" s="18"/>
      <c r="F787" s="528" t="s">
        <v>246</v>
      </c>
      <c r="H787" s="527" t="s">
        <v>1383</v>
      </c>
      <c r="I787" s="39" t="s">
        <v>194</v>
      </c>
      <c r="J787" s="34" t="s">
        <v>1375</v>
      </c>
      <c r="L787" s="32">
        <f>449.05-L788</f>
        <v>389.74</v>
      </c>
      <c r="M787" s="32">
        <f>449.05-M788</f>
        <v>389.74</v>
      </c>
      <c r="P787" s="13" t="s">
        <v>268</v>
      </c>
      <c r="Q787" s="13" t="s">
        <v>100</v>
      </c>
      <c r="R787" s="13" t="s">
        <v>279</v>
      </c>
      <c r="T787" s="18"/>
      <c r="U787" s="18"/>
      <c r="V787" s="18"/>
      <c r="W787" s="18"/>
      <c r="X787" s="18"/>
      <c r="Y787" s="18"/>
      <c r="Z787" s="276" t="e">
        <f>SUM(#REF!)</f>
        <v>#REF!</v>
      </c>
    </row>
    <row r="788" spans="1:26">
      <c r="C788" s="48"/>
      <c r="D788" s="48"/>
      <c r="E788" s="18"/>
      <c r="F788" s="528" t="s">
        <v>246</v>
      </c>
      <c r="H788" s="527" t="s">
        <v>1383</v>
      </c>
      <c r="I788" s="39" t="s">
        <v>1382</v>
      </c>
      <c r="J788" s="34" t="s">
        <v>1375</v>
      </c>
      <c r="L788" s="32">
        <v>59.31</v>
      </c>
      <c r="M788" s="32">
        <v>59.31</v>
      </c>
      <c r="P788" s="258" t="s">
        <v>361</v>
      </c>
      <c r="T788" s="18"/>
      <c r="U788" s="18"/>
      <c r="V788" s="18"/>
      <c r="W788" s="18"/>
      <c r="X788" s="18"/>
      <c r="Y788" s="18"/>
      <c r="Z788" s="277"/>
    </row>
    <row r="789" spans="1:26">
      <c r="C789" s="48"/>
      <c r="D789" s="48"/>
      <c r="E789" s="18"/>
      <c r="F789" s="528" t="s">
        <v>246</v>
      </c>
      <c r="H789" s="527" t="s">
        <v>1383</v>
      </c>
      <c r="I789" s="39" t="s">
        <v>194</v>
      </c>
      <c r="J789" s="34" t="s">
        <v>1376</v>
      </c>
      <c r="L789" s="32">
        <f>511.1-L790</f>
        <v>400.21000000000004</v>
      </c>
      <c r="M789" s="32">
        <f>511.1-M790</f>
        <v>400.21000000000004</v>
      </c>
      <c r="P789" s="13" t="s">
        <v>268</v>
      </c>
      <c r="Q789" s="13" t="s">
        <v>100</v>
      </c>
      <c r="R789" s="13" t="s">
        <v>279</v>
      </c>
      <c r="T789" s="18"/>
      <c r="U789" s="18"/>
      <c r="V789" s="18"/>
      <c r="W789" s="18"/>
      <c r="X789" s="18"/>
      <c r="Y789" s="18"/>
      <c r="Z789" s="277"/>
    </row>
    <row r="790" spans="1:26">
      <c r="C790" s="48"/>
      <c r="D790" s="48"/>
      <c r="E790" s="18"/>
      <c r="F790" s="528" t="s">
        <v>246</v>
      </c>
      <c r="H790" s="527" t="s">
        <v>1383</v>
      </c>
      <c r="I790" s="39" t="s">
        <v>1382</v>
      </c>
      <c r="J790" s="34" t="s">
        <v>1376</v>
      </c>
      <c r="L790" s="32">
        <f>110.89</f>
        <v>110.89</v>
      </c>
      <c r="M790" s="32">
        <f>110.89</f>
        <v>110.89</v>
      </c>
      <c r="P790" s="258" t="s">
        <v>361</v>
      </c>
      <c r="T790" s="18"/>
      <c r="U790" s="18"/>
      <c r="V790" s="18"/>
      <c r="W790" s="18"/>
      <c r="X790" s="18"/>
      <c r="Y790" s="18"/>
      <c r="Z790" s="277"/>
    </row>
    <row r="791" spans="1:26">
      <c r="C791" s="48"/>
      <c r="D791" s="48"/>
      <c r="E791" s="18"/>
      <c r="F791" s="528" t="s">
        <v>246</v>
      </c>
      <c r="H791" s="527" t="s">
        <v>1383</v>
      </c>
      <c r="I791" s="39" t="s">
        <v>194</v>
      </c>
      <c r="J791" s="34" t="s">
        <v>1377</v>
      </c>
      <c r="L791" s="32">
        <f>587.4-L792</f>
        <v>467.7</v>
      </c>
      <c r="M791" s="32">
        <f>587.4-M792</f>
        <v>467.7</v>
      </c>
      <c r="P791" s="13" t="s">
        <v>268</v>
      </c>
      <c r="Q791" s="13" t="s">
        <v>100</v>
      </c>
      <c r="R791" s="13" t="s">
        <v>279</v>
      </c>
      <c r="T791" s="18"/>
      <c r="U791" s="18"/>
      <c r="V791" s="18"/>
      <c r="W791" s="18"/>
      <c r="X791" s="18"/>
      <c r="Y791" s="18"/>
      <c r="Z791" s="277"/>
    </row>
    <row r="792" spans="1:26">
      <c r="C792" s="48"/>
      <c r="D792" s="48"/>
      <c r="E792" s="18"/>
      <c r="F792" s="528" t="s">
        <v>246</v>
      </c>
      <c r="H792" s="527" t="s">
        <v>1383</v>
      </c>
      <c r="I792" s="39" t="s">
        <v>1382</v>
      </c>
      <c r="J792" s="34" t="s">
        <v>1377</v>
      </c>
      <c r="L792" s="32">
        <v>119.7</v>
      </c>
      <c r="M792" s="32">
        <v>119.7</v>
      </c>
      <c r="P792" s="258" t="s">
        <v>361</v>
      </c>
      <c r="T792" s="18"/>
      <c r="U792" s="18"/>
      <c r="V792" s="18"/>
      <c r="W792" s="18"/>
      <c r="X792" s="18"/>
      <c r="Y792" s="18"/>
      <c r="Z792" s="277"/>
    </row>
    <row r="793" spans="1:26">
      <c r="C793" s="48"/>
      <c r="D793" s="48"/>
      <c r="E793" s="18"/>
      <c r="F793" s="528" t="s">
        <v>246</v>
      </c>
      <c r="H793" s="527" t="s">
        <v>1383</v>
      </c>
      <c r="I793" s="39" t="s">
        <v>194</v>
      </c>
      <c r="J793" s="34" t="s">
        <v>1378</v>
      </c>
      <c r="L793" s="32">
        <f>558.05-L794</f>
        <v>483.71999999999997</v>
      </c>
      <c r="M793" s="32">
        <f>558.05-M794</f>
        <v>483.71999999999997</v>
      </c>
      <c r="P793" s="13" t="s">
        <v>268</v>
      </c>
      <c r="Q793" s="13" t="s">
        <v>100</v>
      </c>
      <c r="R793" s="13" t="s">
        <v>279</v>
      </c>
      <c r="T793" s="18"/>
      <c r="U793" s="18"/>
      <c r="V793" s="18"/>
      <c r="W793" s="18"/>
      <c r="X793" s="18"/>
      <c r="Y793" s="18"/>
      <c r="Z793" s="277"/>
    </row>
    <row r="794" spans="1:26">
      <c r="C794" s="48"/>
      <c r="D794" s="48"/>
      <c r="E794" s="18"/>
      <c r="F794" s="528" t="s">
        <v>246</v>
      </c>
      <c r="H794" s="527" t="s">
        <v>1383</v>
      </c>
      <c r="I794" s="39" t="s">
        <v>1382</v>
      </c>
      <c r="J794" s="34" t="s">
        <v>1378</v>
      </c>
      <c r="L794" s="32">
        <v>74.33</v>
      </c>
      <c r="M794" s="32">
        <v>74.33</v>
      </c>
      <c r="P794" s="258" t="s">
        <v>361</v>
      </c>
      <c r="T794" s="18"/>
      <c r="U794" s="18"/>
      <c r="V794" s="18"/>
      <c r="W794" s="18"/>
      <c r="X794" s="18"/>
      <c r="Y794" s="18"/>
      <c r="Z794" s="277"/>
    </row>
    <row r="795" spans="1:26">
      <c r="C795" s="48"/>
      <c r="D795" s="48"/>
      <c r="E795" s="18"/>
      <c r="F795" s="528" t="s">
        <v>246</v>
      </c>
      <c r="H795" s="527" t="s">
        <v>1383</v>
      </c>
      <c r="I795" s="39" t="s">
        <v>194</v>
      </c>
      <c r="J795" s="34" t="s">
        <v>1379</v>
      </c>
      <c r="L795" s="32">
        <f>481.34-L796</f>
        <v>390.15999999999997</v>
      </c>
      <c r="M795" s="32">
        <f>481.34-M796</f>
        <v>390.15999999999997</v>
      </c>
      <c r="P795" s="13" t="s">
        <v>268</v>
      </c>
      <c r="Q795" s="13" t="s">
        <v>100</v>
      </c>
      <c r="R795" s="13" t="s">
        <v>279</v>
      </c>
      <c r="T795" s="18"/>
      <c r="U795" s="18"/>
      <c r="V795" s="18"/>
      <c r="W795" s="18"/>
      <c r="X795" s="18"/>
      <c r="Y795" s="18"/>
      <c r="Z795" s="277"/>
    </row>
    <row r="796" spans="1:26">
      <c r="C796" s="48"/>
      <c r="D796" s="48"/>
      <c r="E796" s="18"/>
      <c r="F796" s="528" t="s">
        <v>246</v>
      </c>
      <c r="H796" s="527" t="s">
        <v>1383</v>
      </c>
      <c r="I796" s="39" t="s">
        <v>1382</v>
      </c>
      <c r="J796" s="34" t="s">
        <v>1379</v>
      </c>
      <c r="L796" s="32">
        <v>91.18</v>
      </c>
      <c r="M796" s="32">
        <v>91.18</v>
      </c>
      <c r="P796" s="258" t="s">
        <v>361</v>
      </c>
      <c r="T796" s="18"/>
      <c r="U796" s="18"/>
      <c r="V796" s="18"/>
      <c r="W796" s="18"/>
      <c r="X796" s="18"/>
      <c r="Y796" s="18"/>
      <c r="Z796" s="277"/>
    </row>
    <row r="797" spans="1:26">
      <c r="C797" s="48" t="s">
        <v>1222</v>
      </c>
      <c r="D797" s="48" t="s">
        <v>1222</v>
      </c>
      <c r="E797" s="18" t="s">
        <v>1217</v>
      </c>
      <c r="F797" s="528" t="s">
        <v>246</v>
      </c>
      <c r="H797" s="527" t="s">
        <v>1383</v>
      </c>
      <c r="I797" s="39" t="s">
        <v>194</v>
      </c>
      <c r="J797" s="34" t="s">
        <v>566</v>
      </c>
      <c r="L797" s="32">
        <f>460.23-L798</f>
        <v>410.28000000000003</v>
      </c>
      <c r="M797" s="32">
        <f>460.23-M798</f>
        <v>410.28000000000003</v>
      </c>
      <c r="P797" s="13" t="s">
        <v>268</v>
      </c>
      <c r="T797" s="18">
        <v>0</v>
      </c>
      <c r="U797" s="18"/>
      <c r="V797" s="18"/>
      <c r="W797" s="18">
        <f t="shared" si="16"/>
        <v>0</v>
      </c>
      <c r="X797" s="18"/>
      <c r="Y797" s="18"/>
      <c r="Z797" s="277"/>
    </row>
    <row r="798" spans="1:26">
      <c r="C798" s="48"/>
      <c r="D798" s="48"/>
      <c r="E798" s="18"/>
      <c r="F798" s="528" t="s">
        <v>246</v>
      </c>
      <c r="H798" s="527" t="s">
        <v>1383</v>
      </c>
      <c r="I798" s="39" t="s">
        <v>1382</v>
      </c>
      <c r="J798" s="34" t="s">
        <v>566</v>
      </c>
      <c r="L798" s="32">
        <v>49.95</v>
      </c>
      <c r="M798" s="32">
        <v>49.95</v>
      </c>
      <c r="P798" s="258" t="s">
        <v>361</v>
      </c>
      <c r="T798" s="18"/>
      <c r="U798" s="18"/>
      <c r="V798" s="18"/>
      <c r="W798" s="18"/>
      <c r="X798" s="18"/>
      <c r="Y798" s="18"/>
      <c r="Z798" s="277"/>
    </row>
    <row r="799" spans="1:26">
      <c r="A799" s="2" t="e">
        <f>SUM(#REF!)</f>
        <v>#REF!</v>
      </c>
      <c r="C799" s="48" t="s">
        <v>1222</v>
      </c>
      <c r="D799" s="48" t="s">
        <v>1222</v>
      </c>
      <c r="E799" s="18" t="s">
        <v>1217</v>
      </c>
      <c r="F799" s="528" t="s">
        <v>246</v>
      </c>
      <c r="H799" s="527" t="s">
        <v>1383</v>
      </c>
      <c r="I799" s="39" t="s">
        <v>194</v>
      </c>
      <c r="J799" s="34" t="s">
        <v>567</v>
      </c>
      <c r="L799" s="32">
        <f>352.35+37.24+35.49-L800</f>
        <v>372.83000000000004</v>
      </c>
      <c r="M799" s="32">
        <f>352.35+37.24+35.49-M800</f>
        <v>372.83000000000004</v>
      </c>
      <c r="P799" s="13" t="s">
        <v>268</v>
      </c>
      <c r="T799" s="18">
        <v>0</v>
      </c>
      <c r="U799" s="18"/>
      <c r="V799" s="18"/>
      <c r="W799" s="18">
        <f t="shared" si="16"/>
        <v>0</v>
      </c>
      <c r="X799" s="18"/>
      <c r="Y799" s="18"/>
      <c r="Z799" s="278"/>
    </row>
    <row r="800" spans="1:26">
      <c r="E800" s="18"/>
      <c r="F800" s="284" t="s">
        <v>246</v>
      </c>
      <c r="H800" s="309" t="s">
        <v>1383</v>
      </c>
      <c r="I800" s="39" t="s">
        <v>1382</v>
      </c>
      <c r="J800" s="34" t="s">
        <v>567</v>
      </c>
      <c r="L800" s="32">
        <v>52.25</v>
      </c>
      <c r="M800" s="32">
        <v>52.25</v>
      </c>
      <c r="P800" s="258" t="s">
        <v>361</v>
      </c>
      <c r="T800" s="18"/>
      <c r="U800" s="18"/>
      <c r="V800" s="18"/>
      <c r="W800" s="18"/>
      <c r="X800" s="18"/>
      <c r="Y800" s="18"/>
      <c r="Z800" s="113"/>
    </row>
    <row r="801" spans="3:26">
      <c r="E801" s="112"/>
      <c r="F801" s="284" t="s">
        <v>606</v>
      </c>
      <c r="H801" s="309" t="s">
        <v>1383</v>
      </c>
      <c r="I801" s="34" t="s">
        <v>249</v>
      </c>
      <c r="J801" s="13" t="s">
        <v>213</v>
      </c>
      <c r="L801" s="16">
        <v>5.6</v>
      </c>
      <c r="M801" s="16">
        <v>5.6</v>
      </c>
      <c r="P801" s="13" t="s">
        <v>294</v>
      </c>
      <c r="Q801" s="13" t="s">
        <v>572</v>
      </c>
      <c r="T801" s="18"/>
      <c r="U801" s="18"/>
      <c r="V801" s="18"/>
      <c r="W801" s="18"/>
      <c r="X801" s="18"/>
      <c r="Y801" s="18"/>
      <c r="Z801" s="113"/>
    </row>
    <row r="802" spans="3:26">
      <c r="E802" s="112"/>
      <c r="F802" s="284" t="s">
        <v>606</v>
      </c>
      <c r="H802" s="309" t="s">
        <v>1383</v>
      </c>
      <c r="I802" s="34" t="s">
        <v>192</v>
      </c>
      <c r="J802" s="13" t="s">
        <v>192</v>
      </c>
      <c r="L802" s="16">
        <v>1.7</v>
      </c>
      <c r="M802" s="16">
        <v>1.7</v>
      </c>
      <c r="P802" s="13" t="s">
        <v>294</v>
      </c>
      <c r="Q802" s="13" t="s">
        <v>572</v>
      </c>
      <c r="T802" s="18"/>
      <c r="U802" s="18"/>
      <c r="V802" s="18"/>
      <c r="W802" s="18"/>
      <c r="X802" s="18"/>
      <c r="Y802" s="18"/>
      <c r="Z802" s="113"/>
    </row>
    <row r="803" spans="3:26">
      <c r="E803" s="112"/>
      <c r="F803" s="529"/>
      <c r="G803" s="558"/>
      <c r="H803" s="559"/>
      <c r="I803" s="560"/>
      <c r="J803" s="561"/>
      <c r="K803" s="558"/>
      <c r="L803" s="562"/>
      <c r="M803" s="562"/>
      <c r="N803" s="563"/>
      <c r="O803" s="563"/>
      <c r="P803" s="564"/>
      <c r="Q803" s="558"/>
      <c r="R803" s="558"/>
      <c r="S803" s="14"/>
      <c r="T803" s="18"/>
      <c r="U803" s="18"/>
      <c r="V803" s="18"/>
      <c r="W803" s="18"/>
      <c r="X803" s="18"/>
      <c r="Y803" s="18"/>
      <c r="Z803" s="113"/>
    </row>
    <row r="804" spans="3:26">
      <c r="E804" s="112"/>
      <c r="F804" s="65"/>
      <c r="G804" s="565"/>
      <c r="H804" s="565"/>
      <c r="I804" s="565"/>
      <c r="J804" s="566"/>
      <c r="K804" s="565"/>
      <c r="L804" s="567"/>
      <c r="M804" s="567"/>
      <c r="N804" s="568"/>
      <c r="O804" s="568"/>
      <c r="P804" s="565"/>
      <c r="Q804" s="565"/>
      <c r="R804" s="565"/>
      <c r="S804" s="66"/>
    </row>
    <row r="805" spans="3:26">
      <c r="E805" s="18"/>
      <c r="F805" s="643" t="s">
        <v>820</v>
      </c>
      <c r="G805" s="489"/>
      <c r="H805" s="530" t="s">
        <v>846</v>
      </c>
      <c r="I805" s="491" t="s">
        <v>616</v>
      </c>
      <c r="J805" s="489" t="s">
        <v>847</v>
      </c>
      <c r="K805" s="491"/>
      <c r="L805" s="531">
        <v>2861.8027000000002</v>
      </c>
      <c r="M805" s="531">
        <v>2861.8027000000002</v>
      </c>
      <c r="N805" s="532"/>
      <c r="O805" s="532"/>
      <c r="P805" s="491"/>
      <c r="Q805" s="491"/>
      <c r="R805" s="491"/>
    </row>
    <row r="806" spans="3:26">
      <c r="E806" s="18"/>
      <c r="F806" s="644"/>
      <c r="G806" s="489"/>
      <c r="H806" s="530" t="s">
        <v>846</v>
      </c>
      <c r="I806" s="491" t="s">
        <v>616</v>
      </c>
      <c r="J806" s="489" t="s">
        <v>841</v>
      </c>
      <c r="K806" s="491"/>
      <c r="L806" s="531">
        <v>2108.7345</v>
      </c>
      <c r="M806" s="531">
        <v>2108.7345</v>
      </c>
      <c r="N806" s="532"/>
      <c r="O806" s="532"/>
      <c r="P806" s="491"/>
      <c r="Q806" s="491"/>
      <c r="R806" s="491"/>
    </row>
    <row r="807" spans="3:26">
      <c r="C807" s="2" t="e">
        <f>SUM(#REF!)</f>
        <v>#REF!</v>
      </c>
      <c r="E807" s="18"/>
      <c r="F807" s="644"/>
      <c r="G807" s="489"/>
      <c r="H807" s="530" t="s">
        <v>846</v>
      </c>
      <c r="I807" s="491" t="s">
        <v>616</v>
      </c>
      <c r="J807" s="489" t="s">
        <v>839</v>
      </c>
      <c r="K807" s="491"/>
      <c r="L807" s="531">
        <v>289.76</v>
      </c>
      <c r="M807" s="531">
        <v>289.76</v>
      </c>
      <c r="N807" s="532"/>
      <c r="O807" s="532"/>
      <c r="P807" s="491"/>
      <c r="Q807" s="491"/>
      <c r="R807" s="491"/>
    </row>
    <row r="808" spans="3:26">
      <c r="C808" s="2" t="e">
        <f>SUM(#REF!)</f>
        <v>#REF!</v>
      </c>
      <c r="E808" s="18"/>
      <c r="F808" s="644"/>
      <c r="G808" s="489"/>
      <c r="H808" s="530" t="s">
        <v>846</v>
      </c>
      <c r="I808" s="491" t="s">
        <v>616</v>
      </c>
      <c r="J808" s="489" t="s">
        <v>840</v>
      </c>
      <c r="K808" s="491"/>
      <c r="L808" s="531">
        <v>192.59</v>
      </c>
      <c r="M808" s="531">
        <v>192.59</v>
      </c>
      <c r="N808" s="532"/>
      <c r="O808" s="532"/>
      <c r="P808" s="491"/>
      <c r="Q808" s="491"/>
      <c r="R808" s="491"/>
    </row>
    <row r="809" spans="3:26">
      <c r="E809" s="18"/>
      <c r="F809" s="644"/>
      <c r="G809" s="489"/>
      <c r="H809" s="530" t="s">
        <v>846</v>
      </c>
      <c r="I809" s="491" t="s">
        <v>616</v>
      </c>
      <c r="J809" s="489" t="s">
        <v>842</v>
      </c>
      <c r="K809" s="491"/>
      <c r="L809" s="531">
        <v>406.15999999999997</v>
      </c>
      <c r="M809" s="531">
        <v>406.15999999999997</v>
      </c>
      <c r="N809" s="532"/>
      <c r="O809" s="532"/>
      <c r="P809" s="491"/>
      <c r="Q809" s="491"/>
      <c r="R809" s="491"/>
    </row>
    <row r="810" spans="3:26">
      <c r="C810">
        <f>SUM(L791:L792)</f>
        <v>587.4</v>
      </c>
      <c r="E810" s="18"/>
      <c r="F810" s="644"/>
      <c r="G810" s="489"/>
      <c r="H810" s="530" t="s">
        <v>846</v>
      </c>
      <c r="I810" s="491" t="s">
        <v>616</v>
      </c>
      <c r="J810" s="489" t="s">
        <v>844</v>
      </c>
      <c r="K810" s="491"/>
      <c r="L810" s="531">
        <v>166.61</v>
      </c>
      <c r="M810" s="531">
        <v>166.61</v>
      </c>
      <c r="N810" s="532"/>
      <c r="O810" s="532"/>
      <c r="P810" s="491"/>
      <c r="Q810" s="491"/>
      <c r="R810" s="532"/>
      <c r="S810" s="48"/>
    </row>
    <row r="811" spans="3:26">
      <c r="C811" s="2"/>
      <c r="E811" s="18"/>
      <c r="F811" s="644"/>
      <c r="G811" s="489"/>
      <c r="H811" s="530" t="s">
        <v>846</v>
      </c>
      <c r="I811" s="491" t="s">
        <v>616</v>
      </c>
      <c r="J811" s="489" t="s">
        <v>845</v>
      </c>
      <c r="K811" s="491"/>
      <c r="L811" s="531">
        <f>45.93+60.8+23.18</f>
        <v>129.91</v>
      </c>
      <c r="M811" s="531">
        <f>45.93+60.8+23.18</f>
        <v>129.91</v>
      </c>
      <c r="N811" s="532"/>
      <c r="O811" s="532"/>
      <c r="P811" s="491"/>
      <c r="Q811" s="491"/>
      <c r="R811" s="491"/>
      <c r="S811" s="48"/>
    </row>
    <row r="812" spans="3:26">
      <c r="E812" s="18"/>
      <c r="F812" s="644"/>
      <c r="G812" s="489"/>
      <c r="H812" s="530" t="s">
        <v>846</v>
      </c>
      <c r="I812" s="490" t="s">
        <v>602</v>
      </c>
      <c r="J812" s="489" t="s">
        <v>848</v>
      </c>
      <c r="K812" s="491"/>
      <c r="L812" s="531">
        <f>4496.2076+1912.1521-93.917-285.7</f>
        <v>6028.7426999999998</v>
      </c>
      <c r="M812" s="531">
        <f>4496.2076+1912.1521-93.917-285.7</f>
        <v>6028.7426999999998</v>
      </c>
      <c r="N812" s="532"/>
      <c r="O812" s="532"/>
      <c r="P812" s="491"/>
      <c r="Q812" s="491"/>
      <c r="R812" s="491"/>
      <c r="S812" s="48"/>
    </row>
    <row r="813" spans="3:26">
      <c r="E813" s="18"/>
      <c r="F813" s="644"/>
      <c r="G813" s="489"/>
      <c r="H813" s="530" t="s">
        <v>846</v>
      </c>
      <c r="I813" s="490" t="s">
        <v>602</v>
      </c>
      <c r="J813" s="489" t="s">
        <v>849</v>
      </c>
      <c r="K813" s="491"/>
      <c r="L813" s="531">
        <v>71.589999999999989</v>
      </c>
      <c r="M813" s="531">
        <v>71.589999999999989</v>
      </c>
      <c r="N813" s="532"/>
      <c r="O813" s="532"/>
      <c r="P813" s="491"/>
      <c r="Q813" s="491"/>
      <c r="R813" s="491"/>
      <c r="S813" s="48"/>
    </row>
    <row r="814" spans="3:26">
      <c r="E814" s="18"/>
      <c r="F814" s="644"/>
      <c r="G814" s="489"/>
      <c r="H814" s="530" t="s">
        <v>846</v>
      </c>
      <c r="I814" s="490" t="s">
        <v>602</v>
      </c>
      <c r="J814" s="489" t="s">
        <v>843</v>
      </c>
      <c r="K814" s="491"/>
      <c r="L814" s="531">
        <v>1226.1300000000001</v>
      </c>
      <c r="M814" s="531">
        <v>1226.1300000000001</v>
      </c>
      <c r="N814" s="532"/>
      <c r="O814" s="532"/>
      <c r="P814" s="491"/>
      <c r="Q814" s="491"/>
      <c r="R814" s="491"/>
      <c r="S814" s="48"/>
    </row>
    <row r="815" spans="3:26">
      <c r="E815" s="18"/>
      <c r="F815" s="644"/>
      <c r="G815" s="489"/>
      <c r="H815" s="530" t="s">
        <v>846</v>
      </c>
      <c r="I815" s="490" t="s">
        <v>602</v>
      </c>
      <c r="J815" s="489" t="s">
        <v>839</v>
      </c>
      <c r="K815" s="491"/>
      <c r="L815" s="531">
        <v>571.12</v>
      </c>
      <c r="M815" s="531">
        <v>571.12</v>
      </c>
      <c r="N815" s="532"/>
      <c r="O815" s="532"/>
      <c r="P815" s="491"/>
      <c r="Q815" s="491"/>
      <c r="R815" s="491"/>
      <c r="S815" s="48"/>
    </row>
    <row r="816" spans="3:26">
      <c r="E816" s="18"/>
      <c r="F816" s="644"/>
      <c r="G816" s="489"/>
      <c r="H816" s="530" t="s">
        <v>846</v>
      </c>
      <c r="I816" s="490" t="s">
        <v>602</v>
      </c>
      <c r="J816" s="489" t="s">
        <v>840</v>
      </c>
      <c r="K816" s="491"/>
      <c r="L816" s="531">
        <v>0</v>
      </c>
      <c r="M816" s="531">
        <v>0</v>
      </c>
      <c r="N816" s="532"/>
      <c r="O816" s="532"/>
      <c r="P816" s="491"/>
      <c r="Q816" s="491"/>
      <c r="R816" s="532"/>
      <c r="S816" s="48"/>
    </row>
    <row r="817" spans="5:19" ht="30">
      <c r="E817" s="18"/>
      <c r="F817" s="644"/>
      <c r="G817" s="489"/>
      <c r="H817" s="530" t="s">
        <v>846</v>
      </c>
      <c r="I817" s="490" t="s">
        <v>602</v>
      </c>
      <c r="J817" s="489" t="s">
        <v>853</v>
      </c>
      <c r="K817" s="491"/>
      <c r="L817" s="531">
        <v>1841.58</v>
      </c>
      <c r="M817" s="531">
        <v>1841.58</v>
      </c>
      <c r="N817" s="532"/>
      <c r="O817" s="532"/>
      <c r="P817" s="491"/>
      <c r="Q817" s="491"/>
      <c r="R817" s="532"/>
      <c r="S817" s="48"/>
    </row>
    <row r="818" spans="5:19">
      <c r="E818" s="18"/>
      <c r="F818" s="644"/>
      <c r="G818" s="489"/>
      <c r="H818" s="530" t="s">
        <v>846</v>
      </c>
      <c r="I818" s="490" t="s">
        <v>602</v>
      </c>
      <c r="J818" s="489" t="s">
        <v>852</v>
      </c>
      <c r="K818" s="491"/>
      <c r="L818" s="531">
        <f>2947.53+328</f>
        <v>3275.53</v>
      </c>
      <c r="M818" s="531">
        <f>2947.53+328</f>
        <v>3275.53</v>
      </c>
      <c r="N818" s="532"/>
      <c r="O818" s="532"/>
      <c r="P818" s="491"/>
      <c r="Q818" s="491"/>
      <c r="R818" s="532"/>
      <c r="S818" s="48"/>
    </row>
    <row r="819" spans="5:19">
      <c r="E819" s="18"/>
      <c r="F819" s="644"/>
      <c r="G819" s="489"/>
      <c r="H819" s="530" t="s">
        <v>846</v>
      </c>
      <c r="I819" s="490" t="s">
        <v>615</v>
      </c>
      <c r="J819" s="489" t="s">
        <v>615</v>
      </c>
      <c r="K819" s="491"/>
      <c r="L819" s="531">
        <v>5544.3347000000003</v>
      </c>
      <c r="M819" s="531">
        <v>5544.3347000000003</v>
      </c>
      <c r="N819" s="532"/>
      <c r="O819" s="532"/>
      <c r="P819" s="491"/>
      <c r="Q819" s="491"/>
      <c r="R819" s="532"/>
      <c r="S819" s="48"/>
    </row>
    <row r="820" spans="5:19">
      <c r="E820" s="18"/>
      <c r="F820" s="644"/>
      <c r="G820" s="489"/>
      <c r="H820" s="530" t="s">
        <v>846</v>
      </c>
      <c r="I820" s="490" t="s">
        <v>615</v>
      </c>
      <c r="J820" s="489" t="s">
        <v>850</v>
      </c>
      <c r="K820" s="491"/>
      <c r="L820" s="531">
        <v>4149.6238000000003</v>
      </c>
      <c r="M820" s="531">
        <v>4149.6238000000003</v>
      </c>
      <c r="N820" s="532"/>
      <c r="O820" s="532"/>
      <c r="P820" s="491"/>
      <c r="Q820" s="491"/>
      <c r="R820" s="532"/>
      <c r="S820" s="48"/>
    </row>
    <row r="821" spans="5:19">
      <c r="E821" s="18"/>
      <c r="F821" s="644"/>
      <c r="G821" s="489"/>
      <c r="H821" s="530" t="s">
        <v>846</v>
      </c>
      <c r="I821" s="490" t="s">
        <v>615</v>
      </c>
      <c r="J821" s="489" t="s">
        <v>851</v>
      </c>
      <c r="K821" s="491"/>
      <c r="L821" s="531">
        <v>475.36880000000002</v>
      </c>
      <c r="M821" s="531">
        <v>475.36880000000002</v>
      </c>
      <c r="N821" s="532"/>
      <c r="O821" s="532"/>
      <c r="P821" s="491"/>
      <c r="Q821" s="491"/>
      <c r="R821" s="532"/>
      <c r="S821" s="48"/>
    </row>
    <row r="822" spans="5:19">
      <c r="E822" s="18"/>
      <c r="F822" s="644"/>
      <c r="G822" s="489"/>
      <c r="H822" s="530" t="s">
        <v>846</v>
      </c>
      <c r="I822" s="490" t="s">
        <v>619</v>
      </c>
      <c r="J822" s="489" t="s">
        <v>854</v>
      </c>
      <c r="K822" s="491"/>
      <c r="L822" s="531">
        <v>9598.4688000000006</v>
      </c>
      <c r="M822" s="531">
        <v>9598.4688000000006</v>
      </c>
      <c r="N822" s="532"/>
      <c r="O822" s="532"/>
      <c r="P822" s="491"/>
      <c r="Q822" s="491"/>
      <c r="R822" s="532"/>
      <c r="S822" s="48"/>
    </row>
    <row r="823" spans="5:19">
      <c r="E823" s="18"/>
      <c r="F823" s="645"/>
      <c r="G823" s="489"/>
      <c r="H823" s="530" t="s">
        <v>846</v>
      </c>
      <c r="I823" s="490" t="s">
        <v>619</v>
      </c>
      <c r="J823" s="489" t="s">
        <v>855</v>
      </c>
      <c r="K823" s="491"/>
      <c r="L823" s="531">
        <v>1277.9457</v>
      </c>
      <c r="M823" s="531">
        <v>1277.9457</v>
      </c>
      <c r="N823" s="532"/>
      <c r="O823" s="532"/>
      <c r="P823" s="491"/>
      <c r="Q823" s="491"/>
      <c r="R823" s="532"/>
      <c r="S823" s="48"/>
    </row>
    <row r="824" spans="5:19">
      <c r="F824" s="533" t="s">
        <v>2347</v>
      </c>
      <c r="G824" s="70"/>
      <c r="H824" s="70"/>
      <c r="I824" s="534"/>
      <c r="J824" s="534"/>
      <c r="K824" s="535"/>
      <c r="L824" s="535"/>
      <c r="M824" s="535"/>
      <c r="N824" s="535"/>
      <c r="O824" s="535"/>
      <c r="P824" s="535"/>
      <c r="Q824" s="535"/>
      <c r="R824" s="535"/>
      <c r="S824" s="48"/>
    </row>
    <row r="825" spans="5:19">
      <c r="F825" s="533" t="s">
        <v>2369</v>
      </c>
      <c r="G825" s="342" t="s">
        <v>2050</v>
      </c>
      <c r="H825" s="70"/>
      <c r="I825" s="534"/>
      <c r="J825" s="536"/>
      <c r="K825" s="196"/>
      <c r="L825" s="196"/>
      <c r="M825" s="196"/>
      <c r="O825" s="32"/>
      <c r="P825" s="196"/>
      <c r="Q825" s="196"/>
      <c r="R825" s="196"/>
      <c r="S825" s="48"/>
    </row>
    <row r="826" spans="5:19">
      <c r="F826" s="13" t="s">
        <v>2369</v>
      </c>
      <c r="H826" s="13" t="s">
        <v>219</v>
      </c>
      <c r="I826" s="13" t="s">
        <v>194</v>
      </c>
      <c r="J826" s="34" t="s">
        <v>2370</v>
      </c>
      <c r="L826" s="92">
        <v>34.979999999999997</v>
      </c>
      <c r="M826" s="92">
        <v>34.979999999999997</v>
      </c>
      <c r="P826" s="13" t="s">
        <v>268</v>
      </c>
      <c r="Q826" s="13" t="s">
        <v>277</v>
      </c>
      <c r="R826" s="196" t="s">
        <v>2371</v>
      </c>
      <c r="S826" s="48" t="s">
        <v>572</v>
      </c>
    </row>
    <row r="827" spans="5:19">
      <c r="F827" s="13" t="s">
        <v>2369</v>
      </c>
      <c r="H827" s="13" t="s">
        <v>219</v>
      </c>
      <c r="I827" s="13" t="s">
        <v>192</v>
      </c>
      <c r="J827" s="34" t="s">
        <v>2372</v>
      </c>
      <c r="L827" s="92">
        <v>18.64</v>
      </c>
      <c r="M827" s="92">
        <v>18.64</v>
      </c>
      <c r="N827" s="196">
        <v>5</v>
      </c>
      <c r="P827" s="13" t="s">
        <v>572</v>
      </c>
      <c r="Q827" s="13" t="s">
        <v>572</v>
      </c>
      <c r="R827" s="196" t="s">
        <v>2284</v>
      </c>
      <c r="S827" s="48" t="s">
        <v>572</v>
      </c>
    </row>
    <row r="828" spans="5:19">
      <c r="F828" s="13" t="s">
        <v>2369</v>
      </c>
      <c r="H828" s="13" t="s">
        <v>219</v>
      </c>
      <c r="I828" s="13" t="s">
        <v>192</v>
      </c>
      <c r="J828" s="34" t="s">
        <v>2373</v>
      </c>
      <c r="L828" s="92">
        <v>4.5</v>
      </c>
      <c r="M828" s="92">
        <v>4.5</v>
      </c>
      <c r="N828" s="196">
        <v>1</v>
      </c>
      <c r="P828" s="13" t="s">
        <v>572</v>
      </c>
      <c r="Q828" s="13" t="s">
        <v>572</v>
      </c>
      <c r="R828" s="196" t="s">
        <v>2284</v>
      </c>
      <c r="S828" s="48" t="s">
        <v>572</v>
      </c>
    </row>
    <row r="829" spans="5:19">
      <c r="F829" s="13" t="s">
        <v>2369</v>
      </c>
      <c r="H829" s="13" t="s">
        <v>219</v>
      </c>
      <c r="I829" s="13" t="s">
        <v>192</v>
      </c>
      <c r="J829" s="34" t="s">
        <v>2374</v>
      </c>
      <c r="L829" s="92">
        <v>18.64</v>
      </c>
      <c r="M829" s="92">
        <v>18.64</v>
      </c>
      <c r="N829" s="196">
        <v>5</v>
      </c>
      <c r="P829" s="13" t="s">
        <v>572</v>
      </c>
      <c r="Q829" s="13" t="s">
        <v>572</v>
      </c>
      <c r="R829" s="196" t="s">
        <v>2284</v>
      </c>
      <c r="S829" s="48" t="s">
        <v>572</v>
      </c>
    </row>
    <row r="830" spans="5:19">
      <c r="F830" s="13" t="s">
        <v>2369</v>
      </c>
      <c r="H830" s="13" t="s">
        <v>219</v>
      </c>
      <c r="I830" s="13" t="s">
        <v>192</v>
      </c>
      <c r="J830" s="34" t="s">
        <v>2375</v>
      </c>
      <c r="L830" s="92">
        <v>4.5</v>
      </c>
      <c r="M830" s="92">
        <v>4.5</v>
      </c>
      <c r="N830" s="196">
        <v>1</v>
      </c>
      <c r="P830" s="13" t="s">
        <v>572</v>
      </c>
      <c r="Q830" s="13" t="s">
        <v>572</v>
      </c>
      <c r="R830" s="196" t="s">
        <v>2284</v>
      </c>
      <c r="S830" s="48" t="s">
        <v>572</v>
      </c>
    </row>
    <row r="831" spans="5:19">
      <c r="F831" s="13" t="s">
        <v>2369</v>
      </c>
      <c r="H831" s="13" t="s">
        <v>219</v>
      </c>
      <c r="I831" s="13" t="s">
        <v>355</v>
      </c>
      <c r="J831" s="34" t="s">
        <v>2376</v>
      </c>
      <c r="L831" s="92">
        <v>9.31</v>
      </c>
      <c r="M831" s="92">
        <v>9.31</v>
      </c>
      <c r="P831" s="13" t="s">
        <v>268</v>
      </c>
      <c r="Q831" s="13" t="s">
        <v>277</v>
      </c>
      <c r="R831" s="196"/>
      <c r="S831" s="48" t="s">
        <v>572</v>
      </c>
    </row>
    <row r="832" spans="5:19">
      <c r="F832" s="13" t="s">
        <v>2369</v>
      </c>
      <c r="H832" s="13" t="s">
        <v>219</v>
      </c>
      <c r="I832" s="13" t="s">
        <v>27</v>
      </c>
      <c r="J832" s="34" t="s">
        <v>27</v>
      </c>
      <c r="L832" s="92">
        <v>3.02</v>
      </c>
      <c r="M832" s="92">
        <v>3.02</v>
      </c>
      <c r="P832" s="13" t="s">
        <v>572</v>
      </c>
      <c r="Q832" s="13" t="s">
        <v>572</v>
      </c>
      <c r="R832" s="196"/>
      <c r="S832" s="48" t="s">
        <v>572</v>
      </c>
    </row>
    <row r="833" spans="6:19">
      <c r="F833" s="13" t="s">
        <v>2369</v>
      </c>
      <c r="H833" s="13" t="s">
        <v>219</v>
      </c>
      <c r="I833" s="13" t="s">
        <v>194</v>
      </c>
      <c r="J833" s="34" t="s">
        <v>2377</v>
      </c>
      <c r="L833" s="92">
        <v>84.48</v>
      </c>
      <c r="M833" s="92">
        <v>84.48</v>
      </c>
      <c r="P833" s="13" t="s">
        <v>268</v>
      </c>
      <c r="Q833" s="13" t="s">
        <v>277</v>
      </c>
      <c r="R833" s="196" t="s">
        <v>2371</v>
      </c>
      <c r="S833" s="48" t="s">
        <v>572</v>
      </c>
    </row>
    <row r="834" spans="6:19">
      <c r="F834" s="13" t="s">
        <v>2369</v>
      </c>
      <c r="H834" s="13" t="s">
        <v>219</v>
      </c>
      <c r="I834" s="13" t="s">
        <v>248</v>
      </c>
      <c r="J834" s="34" t="s">
        <v>2378</v>
      </c>
      <c r="K834" s="13" t="s">
        <v>2379</v>
      </c>
      <c r="L834" s="92">
        <v>66.62</v>
      </c>
      <c r="M834" s="92">
        <v>66.62</v>
      </c>
      <c r="N834" s="196">
        <v>61</v>
      </c>
      <c r="P834" s="13" t="s">
        <v>268</v>
      </c>
      <c r="Q834" s="13" t="s">
        <v>277</v>
      </c>
      <c r="R834" s="196" t="s">
        <v>2380</v>
      </c>
      <c r="S834" s="48" t="s">
        <v>572</v>
      </c>
    </row>
    <row r="835" spans="6:19">
      <c r="F835" s="13" t="s">
        <v>2369</v>
      </c>
      <c r="H835" s="13" t="s">
        <v>219</v>
      </c>
      <c r="I835" s="13" t="s">
        <v>248</v>
      </c>
      <c r="J835" s="34" t="s">
        <v>2381</v>
      </c>
      <c r="K835" s="13" t="s">
        <v>2382</v>
      </c>
      <c r="L835" s="92">
        <v>66.62</v>
      </c>
      <c r="M835" s="92">
        <v>66.62</v>
      </c>
      <c r="N835" s="196">
        <v>61</v>
      </c>
      <c r="P835" s="13" t="s">
        <v>268</v>
      </c>
      <c r="Q835" s="13" t="s">
        <v>277</v>
      </c>
      <c r="R835" s="196" t="s">
        <v>2380</v>
      </c>
      <c r="S835" s="48" t="s">
        <v>572</v>
      </c>
    </row>
    <row r="836" spans="6:19">
      <c r="F836" s="13" t="s">
        <v>2369</v>
      </c>
      <c r="H836" s="13" t="s">
        <v>219</v>
      </c>
      <c r="I836" s="13" t="s">
        <v>248</v>
      </c>
      <c r="J836" s="34" t="s">
        <v>2383</v>
      </c>
      <c r="K836" s="13" t="s">
        <v>2384</v>
      </c>
      <c r="L836" s="92">
        <v>66.62</v>
      </c>
      <c r="M836" s="92">
        <v>66.62</v>
      </c>
      <c r="N836" s="196">
        <v>61</v>
      </c>
      <c r="P836" s="13" t="s">
        <v>268</v>
      </c>
      <c r="Q836" s="13" t="s">
        <v>277</v>
      </c>
      <c r="R836" s="196" t="s">
        <v>2380</v>
      </c>
      <c r="S836" s="48" t="s">
        <v>572</v>
      </c>
    </row>
    <row r="837" spans="6:19">
      <c r="F837" s="13" t="s">
        <v>2369</v>
      </c>
      <c r="H837" s="13" t="s">
        <v>219</v>
      </c>
      <c r="I837" s="13" t="s">
        <v>248</v>
      </c>
      <c r="J837" s="34" t="s">
        <v>2385</v>
      </c>
      <c r="K837" s="13" t="s">
        <v>2386</v>
      </c>
      <c r="L837" s="92">
        <v>66.62</v>
      </c>
      <c r="M837" s="92">
        <v>66.62</v>
      </c>
      <c r="N837" s="196">
        <v>61</v>
      </c>
      <c r="P837" s="13" t="s">
        <v>268</v>
      </c>
      <c r="Q837" s="13" t="s">
        <v>277</v>
      </c>
      <c r="R837" s="196" t="s">
        <v>2380</v>
      </c>
      <c r="S837" s="48" t="s">
        <v>572</v>
      </c>
    </row>
    <row r="838" spans="6:19">
      <c r="F838" s="13" t="s">
        <v>2369</v>
      </c>
      <c r="H838" s="13" t="s">
        <v>219</v>
      </c>
      <c r="I838" s="13" t="s">
        <v>248</v>
      </c>
      <c r="J838" s="34" t="s">
        <v>2387</v>
      </c>
      <c r="K838" s="13" t="s">
        <v>2388</v>
      </c>
      <c r="L838" s="92">
        <v>50.23</v>
      </c>
      <c r="M838" s="92">
        <v>50.23</v>
      </c>
      <c r="N838" s="196">
        <v>40</v>
      </c>
      <c r="P838" s="13" t="s">
        <v>268</v>
      </c>
      <c r="Q838" s="13" t="s">
        <v>277</v>
      </c>
      <c r="R838" s="196" t="s">
        <v>2380</v>
      </c>
      <c r="S838" s="48" t="s">
        <v>572</v>
      </c>
    </row>
    <row r="839" spans="6:19">
      <c r="F839" s="13" t="s">
        <v>2369</v>
      </c>
      <c r="H839" s="13" t="s">
        <v>219</v>
      </c>
      <c r="I839" s="13" t="s">
        <v>248</v>
      </c>
      <c r="J839" s="34" t="s">
        <v>2389</v>
      </c>
      <c r="K839" s="13" t="s">
        <v>2390</v>
      </c>
      <c r="L839" s="92">
        <v>50.37</v>
      </c>
      <c r="M839" s="92">
        <v>50.37</v>
      </c>
      <c r="N839" s="196">
        <v>40</v>
      </c>
      <c r="P839" s="13" t="s">
        <v>268</v>
      </c>
      <c r="Q839" s="13" t="s">
        <v>277</v>
      </c>
      <c r="R839" s="196" t="s">
        <v>2380</v>
      </c>
      <c r="S839" s="48" t="s">
        <v>572</v>
      </c>
    </row>
    <row r="840" spans="6:19">
      <c r="F840" s="13" t="s">
        <v>2369</v>
      </c>
      <c r="H840" s="13" t="s">
        <v>219</v>
      </c>
      <c r="I840" s="13" t="s">
        <v>596</v>
      </c>
      <c r="J840" s="34" t="s">
        <v>144</v>
      </c>
      <c r="K840" s="13" t="s">
        <v>2391</v>
      </c>
      <c r="L840" s="92">
        <v>50.37</v>
      </c>
      <c r="M840" s="92">
        <v>50.37</v>
      </c>
      <c r="N840" s="196">
        <v>29</v>
      </c>
      <c r="P840" s="13" t="s">
        <v>268</v>
      </c>
      <c r="Q840" s="13" t="s">
        <v>277</v>
      </c>
      <c r="R840" s="196" t="s">
        <v>2380</v>
      </c>
      <c r="S840" s="48" t="s">
        <v>572</v>
      </c>
    </row>
    <row r="841" spans="6:19">
      <c r="F841" s="13" t="s">
        <v>2369</v>
      </c>
      <c r="H841" s="13" t="s">
        <v>219</v>
      </c>
      <c r="I841" s="13" t="s">
        <v>596</v>
      </c>
      <c r="J841" s="34" t="s">
        <v>144</v>
      </c>
      <c r="K841" s="13" t="s">
        <v>2392</v>
      </c>
      <c r="L841" s="92">
        <v>50.23</v>
      </c>
      <c r="M841" s="92">
        <v>50.23</v>
      </c>
      <c r="N841" s="196">
        <v>29</v>
      </c>
      <c r="P841" s="13" t="s">
        <v>268</v>
      </c>
      <c r="Q841" s="13" t="s">
        <v>277</v>
      </c>
      <c r="R841" s="196" t="s">
        <v>2380</v>
      </c>
      <c r="S841" s="48" t="s">
        <v>572</v>
      </c>
    </row>
    <row r="842" spans="6:19">
      <c r="F842" s="13" t="s">
        <v>2369</v>
      </c>
      <c r="H842" s="13" t="s">
        <v>2393</v>
      </c>
      <c r="I842" s="13" t="s">
        <v>194</v>
      </c>
      <c r="J842" s="34" t="s">
        <v>163</v>
      </c>
      <c r="L842" s="92">
        <v>34.979999999999997</v>
      </c>
      <c r="M842" s="92">
        <v>34.979999999999997</v>
      </c>
      <c r="P842" s="13" t="s">
        <v>268</v>
      </c>
      <c r="Q842" s="13" t="s">
        <v>277</v>
      </c>
      <c r="R842" s="196" t="s">
        <v>2371</v>
      </c>
      <c r="S842" s="48" t="s">
        <v>572</v>
      </c>
    </row>
    <row r="843" spans="6:19">
      <c r="F843" s="13" t="s">
        <v>2369</v>
      </c>
      <c r="H843" s="13" t="s">
        <v>2393</v>
      </c>
      <c r="I843" s="13" t="s">
        <v>192</v>
      </c>
      <c r="J843" s="34" t="s">
        <v>2372</v>
      </c>
      <c r="L843" s="92">
        <v>18.64</v>
      </c>
      <c r="M843" s="92">
        <v>18.64</v>
      </c>
      <c r="N843" s="196">
        <v>5</v>
      </c>
      <c r="P843" s="13" t="s">
        <v>572</v>
      </c>
      <c r="Q843" s="13" t="s">
        <v>572</v>
      </c>
      <c r="R843" s="196" t="s">
        <v>2284</v>
      </c>
      <c r="S843" s="48" t="s">
        <v>572</v>
      </c>
    </row>
    <row r="844" spans="6:19">
      <c r="F844" s="13" t="s">
        <v>2369</v>
      </c>
      <c r="H844" s="13" t="s">
        <v>2393</v>
      </c>
      <c r="I844" s="13" t="s">
        <v>192</v>
      </c>
      <c r="J844" s="34" t="s">
        <v>2373</v>
      </c>
      <c r="L844" s="92">
        <v>4.5</v>
      </c>
      <c r="M844" s="92">
        <v>4.5</v>
      </c>
      <c r="N844" s="196">
        <v>1</v>
      </c>
      <c r="P844" s="13" t="s">
        <v>572</v>
      </c>
      <c r="Q844" s="13" t="s">
        <v>572</v>
      </c>
      <c r="R844" s="196" t="s">
        <v>2284</v>
      </c>
      <c r="S844" s="48" t="s">
        <v>572</v>
      </c>
    </row>
    <row r="845" spans="6:19">
      <c r="F845" s="13" t="s">
        <v>2369</v>
      </c>
      <c r="H845" s="13" t="s">
        <v>2393</v>
      </c>
      <c r="I845" s="13" t="s">
        <v>192</v>
      </c>
      <c r="J845" s="34" t="s">
        <v>2374</v>
      </c>
      <c r="L845" s="92">
        <v>18.64</v>
      </c>
      <c r="M845" s="92">
        <v>18.64</v>
      </c>
      <c r="N845" s="196">
        <v>5</v>
      </c>
      <c r="P845" s="13" t="s">
        <v>572</v>
      </c>
      <c r="Q845" s="13" t="s">
        <v>572</v>
      </c>
      <c r="R845" s="196" t="s">
        <v>2284</v>
      </c>
      <c r="S845" s="48" t="s">
        <v>572</v>
      </c>
    </row>
    <row r="846" spans="6:19">
      <c r="F846" s="13" t="s">
        <v>2369</v>
      </c>
      <c r="H846" s="13" t="s">
        <v>2393</v>
      </c>
      <c r="I846" s="13" t="s">
        <v>192</v>
      </c>
      <c r="J846" s="34" t="s">
        <v>2375</v>
      </c>
      <c r="L846" s="92">
        <v>4.5</v>
      </c>
      <c r="M846" s="92">
        <v>4.5</v>
      </c>
      <c r="N846" s="196">
        <v>1</v>
      </c>
      <c r="P846" s="13" t="s">
        <v>572</v>
      </c>
      <c r="Q846" s="13" t="s">
        <v>572</v>
      </c>
      <c r="R846" s="196" t="s">
        <v>2284</v>
      </c>
      <c r="S846" s="48" t="s">
        <v>572</v>
      </c>
    </row>
    <row r="847" spans="6:19">
      <c r="F847" s="13" t="s">
        <v>2369</v>
      </c>
      <c r="H847" s="13" t="s">
        <v>2393</v>
      </c>
      <c r="I847" s="13" t="s">
        <v>355</v>
      </c>
      <c r="J847" s="34" t="s">
        <v>2376</v>
      </c>
      <c r="L847" s="92">
        <v>9.31</v>
      </c>
      <c r="M847" s="92">
        <v>9.31</v>
      </c>
      <c r="P847" s="13" t="s">
        <v>268</v>
      </c>
      <c r="Q847" s="13" t="s">
        <v>277</v>
      </c>
      <c r="R847" s="196"/>
      <c r="S847" s="48" t="s">
        <v>572</v>
      </c>
    </row>
    <row r="848" spans="6:19">
      <c r="F848" s="13" t="s">
        <v>2369</v>
      </c>
      <c r="H848" s="13" t="s">
        <v>2393</v>
      </c>
      <c r="I848" s="13" t="s">
        <v>194</v>
      </c>
      <c r="J848" s="34" t="s">
        <v>2377</v>
      </c>
      <c r="L848" s="92">
        <v>84.48</v>
      </c>
      <c r="M848" s="92">
        <v>84.48</v>
      </c>
      <c r="P848" s="13" t="s">
        <v>268</v>
      </c>
      <c r="Q848" s="13" t="s">
        <v>277</v>
      </c>
      <c r="R848" s="196" t="s">
        <v>2371</v>
      </c>
      <c r="S848" s="48" t="s">
        <v>572</v>
      </c>
    </row>
    <row r="849" spans="5:30">
      <c r="F849" s="13" t="s">
        <v>2369</v>
      </c>
      <c r="H849" s="13" t="s">
        <v>2393</v>
      </c>
      <c r="I849" s="13" t="s">
        <v>248</v>
      </c>
      <c r="J849" s="34" t="s">
        <v>2394</v>
      </c>
      <c r="K849" s="13" t="s">
        <v>2395</v>
      </c>
      <c r="L849" s="92">
        <v>66.62</v>
      </c>
      <c r="M849" s="92">
        <v>66.62</v>
      </c>
      <c r="N849" s="196">
        <v>61</v>
      </c>
      <c r="P849" s="13" t="s">
        <v>268</v>
      </c>
      <c r="Q849" s="13" t="s">
        <v>277</v>
      </c>
      <c r="R849" s="196" t="s">
        <v>2380</v>
      </c>
      <c r="S849" s="48" t="s">
        <v>572</v>
      </c>
    </row>
    <row r="850" spans="5:30">
      <c r="F850" s="13" t="s">
        <v>2369</v>
      </c>
      <c r="H850" s="13" t="s">
        <v>2393</v>
      </c>
      <c r="I850" s="13" t="s">
        <v>248</v>
      </c>
      <c r="J850" s="34" t="s">
        <v>2396</v>
      </c>
      <c r="K850" s="13" t="s">
        <v>2397</v>
      </c>
      <c r="L850" s="92">
        <v>66.62</v>
      </c>
      <c r="M850" s="92">
        <v>66.62</v>
      </c>
      <c r="N850" s="196">
        <v>61</v>
      </c>
      <c r="P850" s="13" t="s">
        <v>268</v>
      </c>
      <c r="Q850" s="13" t="s">
        <v>277</v>
      </c>
      <c r="R850" s="196" t="s">
        <v>2380</v>
      </c>
      <c r="S850" s="48" t="s">
        <v>572</v>
      </c>
    </row>
    <row r="851" spans="5:30">
      <c r="F851" s="13" t="s">
        <v>2369</v>
      </c>
      <c r="H851" s="13" t="s">
        <v>2393</v>
      </c>
      <c r="I851" s="13" t="s">
        <v>248</v>
      </c>
      <c r="J851" s="34" t="s">
        <v>2398</v>
      </c>
      <c r="K851" s="13" t="s">
        <v>2399</v>
      </c>
      <c r="L851" s="92">
        <v>66.62</v>
      </c>
      <c r="M851" s="92">
        <v>66.62</v>
      </c>
      <c r="N851" s="196">
        <v>61</v>
      </c>
      <c r="P851" s="13" t="s">
        <v>268</v>
      </c>
      <c r="Q851" s="13" t="s">
        <v>277</v>
      </c>
      <c r="R851" s="196" t="s">
        <v>2380</v>
      </c>
      <c r="S851" s="48" t="s">
        <v>572</v>
      </c>
    </row>
    <row r="852" spans="5:30">
      <c r="F852" s="13" t="s">
        <v>2369</v>
      </c>
      <c r="H852" s="13" t="s">
        <v>2393</v>
      </c>
      <c r="I852" s="13" t="s">
        <v>248</v>
      </c>
      <c r="J852" s="34" t="s">
        <v>2400</v>
      </c>
      <c r="K852" s="13" t="s">
        <v>2401</v>
      </c>
      <c r="L852" s="92">
        <v>66.62</v>
      </c>
      <c r="M852" s="92">
        <v>66.62</v>
      </c>
      <c r="N852" s="196">
        <v>61</v>
      </c>
      <c r="P852" s="13" t="s">
        <v>268</v>
      </c>
      <c r="Q852" s="13" t="s">
        <v>277</v>
      </c>
      <c r="R852" s="196" t="s">
        <v>2380</v>
      </c>
      <c r="S852" s="48" t="s">
        <v>572</v>
      </c>
    </row>
    <row r="853" spans="5:30">
      <c r="F853" s="13" t="s">
        <v>2369</v>
      </c>
      <c r="H853" s="13" t="s">
        <v>2393</v>
      </c>
      <c r="I853" s="13" t="s">
        <v>249</v>
      </c>
      <c r="J853" s="34" t="s">
        <v>2402</v>
      </c>
      <c r="K853" s="13" t="s">
        <v>2403</v>
      </c>
      <c r="L853" s="92">
        <v>50.81</v>
      </c>
      <c r="M853" s="92">
        <v>50.81</v>
      </c>
      <c r="N853" s="196">
        <v>25</v>
      </c>
      <c r="P853" s="13" t="s">
        <v>268</v>
      </c>
      <c r="Q853" s="13" t="s">
        <v>277</v>
      </c>
      <c r="R853" s="196" t="s">
        <v>2380</v>
      </c>
      <c r="S853" s="48" t="s">
        <v>572</v>
      </c>
    </row>
    <row r="854" spans="5:30">
      <c r="F854" s="13" t="s">
        <v>2369</v>
      </c>
      <c r="H854" s="13" t="s">
        <v>2393</v>
      </c>
      <c r="I854" s="13" t="s">
        <v>249</v>
      </c>
      <c r="J854" s="34" t="s">
        <v>2404</v>
      </c>
      <c r="K854" s="13" t="s">
        <v>2405</v>
      </c>
      <c r="L854" s="92">
        <v>25.07</v>
      </c>
      <c r="M854" s="92">
        <v>25.07</v>
      </c>
      <c r="N854" s="196">
        <v>18</v>
      </c>
      <c r="P854" s="13" t="s">
        <v>268</v>
      </c>
      <c r="Q854" s="13" t="s">
        <v>277</v>
      </c>
      <c r="R854" s="196" t="s">
        <v>2380</v>
      </c>
      <c r="S854" s="48" t="s">
        <v>572</v>
      </c>
    </row>
    <row r="855" spans="5:30">
      <c r="F855" s="13" t="s">
        <v>2369</v>
      </c>
      <c r="H855" s="13" t="s">
        <v>2393</v>
      </c>
      <c r="I855" s="13" t="s">
        <v>249</v>
      </c>
      <c r="J855" s="34" t="s">
        <v>2406</v>
      </c>
      <c r="K855" s="13" t="s">
        <v>2407</v>
      </c>
      <c r="L855" s="92">
        <v>25.07</v>
      </c>
      <c r="M855" s="92">
        <v>25.07</v>
      </c>
      <c r="N855" s="196">
        <v>18</v>
      </c>
      <c r="P855" s="13" t="s">
        <v>268</v>
      </c>
      <c r="Q855" s="13" t="s">
        <v>277</v>
      </c>
      <c r="R855" s="196" t="s">
        <v>2380</v>
      </c>
      <c r="S855" s="48" t="s">
        <v>572</v>
      </c>
    </row>
    <row r="856" spans="5:30">
      <c r="F856" s="13" t="s">
        <v>2369</v>
      </c>
      <c r="H856" s="13" t="s">
        <v>2393</v>
      </c>
      <c r="I856" s="13" t="s">
        <v>249</v>
      </c>
      <c r="J856" s="34" t="s">
        <v>2408</v>
      </c>
      <c r="K856" s="13" t="s">
        <v>2409</v>
      </c>
      <c r="L856" s="92">
        <v>25.07</v>
      </c>
      <c r="M856" s="92">
        <v>25.07</v>
      </c>
      <c r="N856" s="196">
        <v>18</v>
      </c>
      <c r="P856" s="13" t="s">
        <v>268</v>
      </c>
      <c r="Q856" s="13" t="s">
        <v>277</v>
      </c>
      <c r="R856" s="196" t="s">
        <v>2380</v>
      </c>
      <c r="S856" s="48" t="s">
        <v>572</v>
      </c>
    </row>
    <row r="857" spans="5:30">
      <c r="F857" s="13" t="s">
        <v>2369</v>
      </c>
      <c r="H857" s="13" t="s">
        <v>2393</v>
      </c>
      <c r="I857" s="13" t="s">
        <v>249</v>
      </c>
      <c r="J857" s="34" t="s">
        <v>2410</v>
      </c>
      <c r="K857" s="13" t="s">
        <v>2411</v>
      </c>
      <c r="L857" s="92">
        <v>25.07</v>
      </c>
      <c r="M857" s="92">
        <v>25.07</v>
      </c>
      <c r="N857" s="196">
        <v>18</v>
      </c>
      <c r="P857" s="13" t="s">
        <v>268</v>
      </c>
      <c r="Q857" s="13" t="s">
        <v>277</v>
      </c>
      <c r="R857" s="196" t="s">
        <v>2380</v>
      </c>
      <c r="S857" s="48" t="s">
        <v>572</v>
      </c>
    </row>
    <row r="858" spans="5:30">
      <c r="F858" s="13" t="s">
        <v>2369</v>
      </c>
      <c r="H858" s="13" t="s">
        <v>2393</v>
      </c>
      <c r="I858" s="13" t="s">
        <v>249</v>
      </c>
      <c r="J858" s="34" t="s">
        <v>2412</v>
      </c>
      <c r="K858" s="13" t="s">
        <v>2413</v>
      </c>
      <c r="L858" s="92">
        <v>37.79</v>
      </c>
      <c r="M858" s="92">
        <v>37.79</v>
      </c>
      <c r="N858" s="196">
        <v>18</v>
      </c>
      <c r="P858" s="13" t="s">
        <v>268</v>
      </c>
      <c r="Q858" s="13" t="s">
        <v>277</v>
      </c>
      <c r="R858" s="196" t="s">
        <v>2380</v>
      </c>
      <c r="S858" s="48" t="s">
        <v>572</v>
      </c>
    </row>
    <row r="859" spans="5:30">
      <c r="F859" s="13" t="s">
        <v>2369</v>
      </c>
      <c r="H859" s="13" t="s">
        <v>2393</v>
      </c>
      <c r="I859" s="13" t="s">
        <v>355</v>
      </c>
      <c r="J859" s="34" t="s">
        <v>2414</v>
      </c>
      <c r="K859" s="13" t="s">
        <v>2415</v>
      </c>
      <c r="L859" s="92">
        <v>12.2</v>
      </c>
      <c r="M859" s="92">
        <v>12.2</v>
      </c>
      <c r="N859" s="196">
        <v>3</v>
      </c>
      <c r="P859" s="13" t="s">
        <v>268</v>
      </c>
      <c r="Q859" s="13" t="s">
        <v>277</v>
      </c>
      <c r="R859" s="196" t="s">
        <v>2380</v>
      </c>
      <c r="S859" s="48" t="s">
        <v>572</v>
      </c>
    </row>
    <row r="860" spans="5:30" s="439" customFormat="1">
      <c r="E860" s="438"/>
      <c r="F860" s="537" t="s">
        <v>820</v>
      </c>
      <c r="G860" s="491"/>
      <c r="H860" s="491" t="s">
        <v>644</v>
      </c>
      <c r="I860" s="491" t="s">
        <v>615</v>
      </c>
      <c r="J860" s="489" t="s">
        <v>2416</v>
      </c>
      <c r="K860" s="491"/>
      <c r="L860" s="538">
        <v>1780.97</v>
      </c>
      <c r="M860" s="538">
        <v>1780.97</v>
      </c>
      <c r="N860" s="532"/>
      <c r="O860" s="532"/>
      <c r="P860" s="491"/>
      <c r="Q860" s="491"/>
      <c r="R860" s="532"/>
      <c r="S860" s="438"/>
      <c r="T860" s="438"/>
      <c r="U860" s="438"/>
      <c r="V860" s="438"/>
      <c r="W860" s="438"/>
      <c r="X860" s="438"/>
      <c r="Y860" s="438"/>
      <c r="Z860" s="438"/>
      <c r="AA860" s="438"/>
      <c r="AB860" s="438"/>
      <c r="AC860" s="438"/>
      <c r="AD860" s="438"/>
    </row>
    <row r="861" spans="5:30" s="439" customFormat="1">
      <c r="E861" s="438"/>
      <c r="F861" s="537" t="s">
        <v>820</v>
      </c>
      <c r="G861" s="491"/>
      <c r="H861" s="491" t="s">
        <v>644</v>
      </c>
      <c r="I861" s="491" t="s">
        <v>615</v>
      </c>
      <c r="J861" s="489" t="s">
        <v>2417</v>
      </c>
      <c r="K861" s="491"/>
      <c r="L861" s="538">
        <v>487.44</v>
      </c>
      <c r="M861" s="538">
        <v>487.44</v>
      </c>
      <c r="N861" s="532"/>
      <c r="O861" s="532"/>
      <c r="P861" s="491"/>
      <c r="Q861" s="491"/>
      <c r="R861" s="532"/>
      <c r="S861" s="438"/>
      <c r="T861" s="438"/>
      <c r="U861" s="438"/>
      <c r="V861" s="438"/>
      <c r="W861" s="438"/>
      <c r="X861" s="438"/>
      <c r="Y861" s="438"/>
      <c r="Z861" s="438"/>
      <c r="AA861" s="438"/>
      <c r="AB861" s="438"/>
      <c r="AC861" s="438"/>
      <c r="AD861" s="438"/>
    </row>
    <row r="862" spans="5:30" s="439" customFormat="1">
      <c r="E862" s="438"/>
      <c r="F862" s="537" t="s">
        <v>820</v>
      </c>
      <c r="G862" s="491"/>
      <c r="H862" s="491" t="s">
        <v>644</v>
      </c>
      <c r="I862" s="491" t="s">
        <v>616</v>
      </c>
      <c r="J862" s="489" t="s">
        <v>2418</v>
      </c>
      <c r="K862" s="491"/>
      <c r="L862" s="538">
        <v>479</v>
      </c>
      <c r="M862" s="538">
        <v>479</v>
      </c>
      <c r="N862" s="532"/>
      <c r="O862" s="532"/>
      <c r="P862" s="491"/>
      <c r="Q862" s="491"/>
      <c r="R862" s="532"/>
      <c r="S862" s="438"/>
      <c r="T862" s="438"/>
      <c r="U862" s="438"/>
      <c r="V862" s="438"/>
      <c r="W862" s="438"/>
      <c r="X862" s="438"/>
      <c r="Y862" s="438"/>
      <c r="Z862" s="438"/>
      <c r="AA862" s="438"/>
      <c r="AB862" s="438"/>
      <c r="AC862" s="438"/>
      <c r="AD862" s="438"/>
    </row>
    <row r="863" spans="5:30" s="439" customFormat="1">
      <c r="E863" s="438"/>
      <c r="F863" s="537" t="s">
        <v>820</v>
      </c>
      <c r="G863" s="491"/>
      <c r="H863" s="491" t="s">
        <v>644</v>
      </c>
      <c r="I863" s="491" t="s">
        <v>616</v>
      </c>
      <c r="J863" s="489" t="s">
        <v>2419</v>
      </c>
      <c r="K863" s="491"/>
      <c r="L863" s="538">
        <v>59.46</v>
      </c>
      <c r="M863" s="538">
        <v>59.46</v>
      </c>
      <c r="N863" s="532"/>
      <c r="O863" s="532"/>
      <c r="P863" s="491"/>
      <c r="Q863" s="491"/>
      <c r="R863" s="532"/>
      <c r="S863" s="438"/>
      <c r="T863" s="438"/>
      <c r="U863" s="438"/>
      <c r="V863" s="438"/>
      <c r="W863" s="438"/>
      <c r="X863" s="438"/>
      <c r="Y863" s="438"/>
      <c r="Z863" s="438"/>
      <c r="AA863" s="438"/>
      <c r="AB863" s="438"/>
      <c r="AC863" s="438"/>
      <c r="AD863" s="438"/>
    </row>
    <row r="864" spans="5:30" s="439" customFormat="1">
      <c r="E864" s="438"/>
      <c r="F864" s="537" t="s">
        <v>820</v>
      </c>
      <c r="G864" s="491"/>
      <c r="H864" s="491" t="s">
        <v>644</v>
      </c>
      <c r="I864" s="491" t="s">
        <v>616</v>
      </c>
      <c r="J864" s="489" t="s">
        <v>2420</v>
      </c>
      <c r="K864" s="491"/>
      <c r="L864" s="538">
        <v>137.68</v>
      </c>
      <c r="M864" s="538">
        <v>137.68</v>
      </c>
      <c r="N864" s="532"/>
      <c r="O864" s="532"/>
      <c r="P864" s="491"/>
      <c r="Q864" s="491"/>
      <c r="R864" s="532"/>
      <c r="S864" s="438"/>
      <c r="T864" s="438"/>
      <c r="U864" s="438"/>
      <c r="V864" s="438"/>
      <c r="W864" s="438"/>
      <c r="X864" s="438"/>
      <c r="Y864" s="438"/>
      <c r="Z864" s="438"/>
      <c r="AA864" s="438"/>
      <c r="AB864" s="438"/>
      <c r="AC864" s="438"/>
      <c r="AD864" s="438"/>
    </row>
    <row r="865" spans="5:30" s="439" customFormat="1">
      <c r="E865" s="438"/>
      <c r="F865" s="537" t="s">
        <v>820</v>
      </c>
      <c r="G865" s="491"/>
      <c r="H865" s="491" t="s">
        <v>644</v>
      </c>
      <c r="I865" s="491" t="s">
        <v>616</v>
      </c>
      <c r="J865" s="489" t="s">
        <v>2421</v>
      </c>
      <c r="K865" s="491"/>
      <c r="L865" s="538">
        <v>170.82</v>
      </c>
      <c r="M865" s="538">
        <v>170.82</v>
      </c>
      <c r="N865" s="532"/>
      <c r="O865" s="532"/>
      <c r="P865" s="491"/>
      <c r="Q865" s="491"/>
      <c r="R865" s="532"/>
      <c r="S865" s="438"/>
      <c r="T865" s="438"/>
      <c r="U865" s="438"/>
      <c r="V865" s="438"/>
      <c r="W865" s="438"/>
      <c r="X865" s="438"/>
      <c r="Y865" s="438"/>
      <c r="Z865" s="438"/>
      <c r="AA865" s="438"/>
      <c r="AB865" s="438"/>
      <c r="AC865" s="438"/>
      <c r="AD865" s="438"/>
    </row>
    <row r="866" spans="5:30" s="439" customFormat="1">
      <c r="E866" s="438"/>
      <c r="F866" s="537" t="s">
        <v>820</v>
      </c>
      <c r="G866" s="491"/>
      <c r="H866" s="491" t="s">
        <v>644</v>
      </c>
      <c r="I866" s="491" t="s">
        <v>616</v>
      </c>
      <c r="J866" s="489" t="s">
        <v>2422</v>
      </c>
      <c r="K866" s="491"/>
      <c r="L866" s="538">
        <v>114.19</v>
      </c>
      <c r="M866" s="538">
        <v>114.19</v>
      </c>
      <c r="N866" s="532"/>
      <c r="O866" s="532"/>
      <c r="P866" s="491"/>
      <c r="Q866" s="491"/>
      <c r="R866" s="532"/>
      <c r="S866" s="438"/>
      <c r="T866" s="438"/>
      <c r="U866" s="438"/>
      <c r="V866" s="438"/>
      <c r="W866" s="438"/>
      <c r="X866" s="438"/>
      <c r="Y866" s="438"/>
      <c r="Z866" s="438"/>
      <c r="AA866" s="438"/>
      <c r="AB866" s="438"/>
      <c r="AC866" s="438"/>
      <c r="AD866" s="438"/>
    </row>
    <row r="867" spans="5:30" s="439" customFormat="1">
      <c r="E867" s="438"/>
      <c r="F867" s="537" t="s">
        <v>820</v>
      </c>
      <c r="G867" s="491"/>
      <c r="H867" s="491" t="s">
        <v>644</v>
      </c>
      <c r="I867" s="491" t="s">
        <v>616</v>
      </c>
      <c r="J867" s="489" t="s">
        <v>2423</v>
      </c>
      <c r="K867" s="491"/>
      <c r="L867" s="538">
        <v>115.9</v>
      </c>
      <c r="M867" s="538">
        <v>115.9</v>
      </c>
      <c r="N867" s="532"/>
      <c r="O867" s="532"/>
      <c r="P867" s="491"/>
      <c r="Q867" s="491"/>
      <c r="R867" s="532"/>
      <c r="S867" s="438"/>
      <c r="T867" s="438"/>
      <c r="U867" s="438"/>
      <c r="V867" s="438"/>
      <c r="W867" s="438"/>
      <c r="X867" s="438"/>
      <c r="Y867" s="438"/>
      <c r="Z867" s="438"/>
      <c r="AA867" s="438"/>
      <c r="AB867" s="438"/>
      <c r="AC867" s="438"/>
      <c r="AD867" s="438"/>
    </row>
    <row r="868" spans="5:30" s="439" customFormat="1" ht="30">
      <c r="E868" s="438"/>
      <c r="F868" s="537" t="s">
        <v>820</v>
      </c>
      <c r="G868" s="491"/>
      <c r="H868" s="491" t="s">
        <v>644</v>
      </c>
      <c r="I868" s="491" t="s">
        <v>616</v>
      </c>
      <c r="J868" s="489" t="s">
        <v>2424</v>
      </c>
      <c r="K868" s="491"/>
      <c r="L868" s="538">
        <v>60.55</v>
      </c>
      <c r="M868" s="538">
        <v>60.55</v>
      </c>
      <c r="N868" s="532"/>
      <c r="O868" s="532"/>
      <c r="P868" s="491"/>
      <c r="Q868" s="491"/>
      <c r="R868" s="532"/>
      <c r="S868" s="438"/>
      <c r="T868" s="438"/>
      <c r="U868" s="438"/>
      <c r="V868" s="438"/>
      <c r="W868" s="438"/>
      <c r="X868" s="438"/>
      <c r="Y868" s="438"/>
      <c r="Z868" s="438"/>
      <c r="AA868" s="438"/>
      <c r="AB868" s="438"/>
      <c r="AC868" s="438"/>
      <c r="AD868" s="438"/>
    </row>
    <row r="869" spans="5:30" s="439" customFormat="1">
      <c r="E869" s="438"/>
      <c r="F869" s="537" t="s">
        <v>820</v>
      </c>
      <c r="G869" s="491"/>
      <c r="H869" s="491" t="s">
        <v>644</v>
      </c>
      <c r="I869" s="491" t="s">
        <v>616</v>
      </c>
      <c r="J869" s="489" t="s">
        <v>2425</v>
      </c>
      <c r="K869" s="491"/>
      <c r="L869" s="538">
        <v>50</v>
      </c>
      <c r="M869" s="538">
        <v>50</v>
      </c>
      <c r="N869" s="532"/>
      <c r="O869" s="532"/>
      <c r="P869" s="491"/>
      <c r="Q869" s="491"/>
      <c r="R869" s="532"/>
      <c r="S869" s="438"/>
      <c r="T869" s="438"/>
      <c r="U869" s="438"/>
      <c r="V869" s="438"/>
      <c r="W869" s="438"/>
      <c r="X869" s="438"/>
      <c r="Y869" s="438"/>
      <c r="Z869" s="438"/>
      <c r="AA869" s="438"/>
      <c r="AB869" s="438"/>
      <c r="AC869" s="438"/>
      <c r="AD869" s="438"/>
    </row>
    <row r="870" spans="5:30" s="439" customFormat="1">
      <c r="E870" s="438"/>
      <c r="F870" s="537" t="s">
        <v>820</v>
      </c>
      <c r="G870" s="491"/>
      <c r="H870" s="491" t="s">
        <v>644</v>
      </c>
      <c r="I870" s="491" t="s">
        <v>602</v>
      </c>
      <c r="J870" s="489" t="s">
        <v>2426</v>
      </c>
      <c r="K870" s="491"/>
      <c r="L870" s="538">
        <v>1074.99</v>
      </c>
      <c r="M870" s="538">
        <v>1074.99</v>
      </c>
      <c r="N870" s="532"/>
      <c r="O870" s="532"/>
      <c r="P870" s="491"/>
      <c r="Q870" s="491"/>
      <c r="R870" s="532"/>
      <c r="S870" s="438"/>
      <c r="T870" s="438"/>
      <c r="U870" s="438"/>
      <c r="V870" s="438"/>
      <c r="W870" s="438"/>
      <c r="X870" s="438"/>
      <c r="Y870" s="438"/>
      <c r="Z870" s="438"/>
      <c r="AA870" s="438"/>
      <c r="AB870" s="438"/>
      <c r="AC870" s="438"/>
      <c r="AD870" s="438"/>
    </row>
    <row r="871" spans="5:30" s="439" customFormat="1">
      <c r="E871" s="438"/>
      <c r="F871" s="537" t="s">
        <v>820</v>
      </c>
      <c r="G871" s="491"/>
      <c r="H871" s="491" t="s">
        <v>644</v>
      </c>
      <c r="I871" s="491" t="s">
        <v>602</v>
      </c>
      <c r="J871" s="489" t="s">
        <v>2427</v>
      </c>
      <c r="K871" s="491"/>
      <c r="L871" s="538">
        <v>357.26</v>
      </c>
      <c r="M871" s="538">
        <v>357.26</v>
      </c>
      <c r="N871" s="532"/>
      <c r="O871" s="532"/>
      <c r="P871" s="491"/>
      <c r="Q871" s="491"/>
      <c r="R871" s="532"/>
      <c r="S871" s="438"/>
      <c r="T871" s="438"/>
      <c r="U871" s="438"/>
      <c r="V871" s="438"/>
      <c r="W871" s="438"/>
      <c r="X871" s="438"/>
      <c r="Y871" s="438"/>
      <c r="Z871" s="438"/>
      <c r="AA871" s="438"/>
      <c r="AB871" s="438"/>
      <c r="AC871" s="438"/>
      <c r="AD871" s="438"/>
    </row>
    <row r="872" spans="5:30">
      <c r="F872" s="539"/>
      <c r="R872" s="196"/>
      <c r="S872" s="48"/>
    </row>
    <row r="873" spans="5:30">
      <c r="F873" s="533" t="s">
        <v>2449</v>
      </c>
      <c r="G873" s="342" t="s">
        <v>2050</v>
      </c>
      <c r="H873" s="70"/>
      <c r="I873" s="534"/>
      <c r="J873" s="536"/>
      <c r="K873" s="196"/>
      <c r="L873" s="196"/>
      <c r="M873" s="196"/>
      <c r="O873" s="32"/>
      <c r="P873" s="196"/>
      <c r="Q873" s="196"/>
      <c r="R873" s="196"/>
      <c r="S873" s="48"/>
    </row>
    <row r="874" spans="5:30">
      <c r="F874" s="258" t="s">
        <v>2450</v>
      </c>
      <c r="H874" s="258" t="s">
        <v>219</v>
      </c>
      <c r="I874" s="13" t="s">
        <v>1313</v>
      </c>
      <c r="J874" s="540" t="s">
        <v>2451</v>
      </c>
      <c r="L874" s="92">
        <v>601.16999999999996</v>
      </c>
      <c r="M874" s="92">
        <v>601.16999999999996</v>
      </c>
      <c r="N874" s="196">
        <v>482</v>
      </c>
      <c r="P874" s="13" t="s">
        <v>268</v>
      </c>
      <c r="Q874" s="13" t="s">
        <v>2483</v>
      </c>
      <c r="R874" s="196" t="s">
        <v>2482</v>
      </c>
      <c r="S874" s="48"/>
    </row>
    <row r="875" spans="5:30">
      <c r="F875" s="258" t="s">
        <v>2450</v>
      </c>
      <c r="H875" s="258" t="s">
        <v>219</v>
      </c>
      <c r="I875" s="13" t="s">
        <v>1371</v>
      </c>
      <c r="J875" s="540" t="s">
        <v>2452</v>
      </c>
      <c r="L875" s="92">
        <v>42.21</v>
      </c>
      <c r="M875" s="92">
        <v>42.21</v>
      </c>
      <c r="P875" s="13" t="s">
        <v>268</v>
      </c>
      <c r="Q875" s="13" t="s">
        <v>2483</v>
      </c>
      <c r="R875" s="196" t="s">
        <v>2345</v>
      </c>
      <c r="S875" s="48"/>
    </row>
    <row r="876" spans="5:30">
      <c r="F876" s="258" t="s">
        <v>2450</v>
      </c>
      <c r="H876" s="258" t="s">
        <v>219</v>
      </c>
      <c r="I876" s="13" t="s">
        <v>1371</v>
      </c>
      <c r="J876" s="540" t="s">
        <v>2453</v>
      </c>
      <c r="L876" s="92">
        <v>1.72</v>
      </c>
      <c r="M876" s="92">
        <v>1.72</v>
      </c>
      <c r="P876" s="13" t="s">
        <v>268</v>
      </c>
      <c r="Q876" s="13" t="s">
        <v>2483</v>
      </c>
      <c r="R876" s="196" t="s">
        <v>2345</v>
      </c>
      <c r="S876" s="48"/>
    </row>
    <row r="877" spans="5:30">
      <c r="F877" s="258" t="s">
        <v>2450</v>
      </c>
      <c r="H877" s="258" t="s">
        <v>219</v>
      </c>
      <c r="I877" s="13" t="s">
        <v>192</v>
      </c>
      <c r="J877" s="540" t="s">
        <v>2454</v>
      </c>
      <c r="L877" s="92">
        <v>8.85</v>
      </c>
      <c r="M877" s="92">
        <v>8.85</v>
      </c>
      <c r="N877" s="196">
        <v>1</v>
      </c>
      <c r="P877" s="13" t="s">
        <v>572</v>
      </c>
      <c r="Q877" s="13" t="s">
        <v>572</v>
      </c>
      <c r="R877" s="196" t="s">
        <v>2345</v>
      </c>
      <c r="S877" s="48"/>
    </row>
    <row r="878" spans="5:30">
      <c r="F878" s="258" t="s">
        <v>2450</v>
      </c>
      <c r="H878" s="258" t="s">
        <v>219</v>
      </c>
      <c r="I878" s="13" t="s">
        <v>249</v>
      </c>
      <c r="J878" s="540" t="s">
        <v>212</v>
      </c>
      <c r="L878" s="92">
        <v>20.3</v>
      </c>
      <c r="M878" s="92">
        <v>20.3</v>
      </c>
      <c r="N878" s="196">
        <v>6</v>
      </c>
      <c r="P878" s="13" t="s">
        <v>268</v>
      </c>
      <c r="Q878" s="13" t="s">
        <v>277</v>
      </c>
      <c r="R878" s="196" t="s">
        <v>2345</v>
      </c>
      <c r="S878" s="18" t="s">
        <v>572</v>
      </c>
    </row>
    <row r="879" spans="5:30">
      <c r="F879" s="258" t="s">
        <v>2450</v>
      </c>
      <c r="H879" s="258" t="s">
        <v>219</v>
      </c>
      <c r="I879" s="13" t="s">
        <v>208</v>
      </c>
      <c r="J879" s="540" t="s">
        <v>392</v>
      </c>
      <c r="L879" s="92">
        <v>10.050000000000001</v>
      </c>
      <c r="M879" s="92">
        <v>10.050000000000001</v>
      </c>
      <c r="N879" s="196">
        <v>1</v>
      </c>
      <c r="P879" s="13" t="s">
        <v>268</v>
      </c>
      <c r="Q879" s="13" t="s">
        <v>277</v>
      </c>
      <c r="R879" s="196" t="s">
        <v>2345</v>
      </c>
      <c r="S879" s="18" t="s">
        <v>572</v>
      </c>
    </row>
    <row r="880" spans="5:30">
      <c r="F880" s="258" t="s">
        <v>2450</v>
      </c>
      <c r="H880" s="258" t="s">
        <v>219</v>
      </c>
      <c r="I880" s="13" t="s">
        <v>192</v>
      </c>
      <c r="J880" s="540" t="s">
        <v>2455</v>
      </c>
      <c r="L880" s="92">
        <v>3.42</v>
      </c>
      <c r="M880" s="92">
        <v>3.42</v>
      </c>
      <c r="N880" s="196">
        <v>1</v>
      </c>
      <c r="P880" s="13" t="s">
        <v>572</v>
      </c>
      <c r="Q880" s="13" t="s">
        <v>572</v>
      </c>
      <c r="R880" s="196" t="s">
        <v>2345</v>
      </c>
      <c r="S880" s="48"/>
    </row>
    <row r="881" spans="5:30">
      <c r="F881" s="258" t="s">
        <v>2450</v>
      </c>
      <c r="H881" s="258" t="s">
        <v>219</v>
      </c>
      <c r="I881" s="13" t="s">
        <v>194</v>
      </c>
      <c r="J881" s="258" t="s">
        <v>194</v>
      </c>
      <c r="L881" s="92">
        <v>23.44</v>
      </c>
      <c r="M881" s="92">
        <v>23.44</v>
      </c>
      <c r="P881" s="13" t="s">
        <v>268</v>
      </c>
      <c r="Q881" s="13" t="s">
        <v>2483</v>
      </c>
      <c r="R881" s="196" t="s">
        <v>2345</v>
      </c>
      <c r="S881" s="48"/>
    </row>
    <row r="882" spans="5:30">
      <c r="F882" s="258" t="s">
        <v>2450</v>
      </c>
      <c r="H882" s="258" t="s">
        <v>219</v>
      </c>
      <c r="I882" s="13" t="s">
        <v>192</v>
      </c>
      <c r="J882" s="540" t="s">
        <v>2456</v>
      </c>
      <c r="L882" s="92">
        <v>3.8</v>
      </c>
      <c r="M882" s="92">
        <v>3.8</v>
      </c>
      <c r="N882" s="196">
        <v>1</v>
      </c>
      <c r="P882" s="13" t="s">
        <v>572</v>
      </c>
      <c r="Q882" s="13" t="s">
        <v>572</v>
      </c>
      <c r="R882" s="196" t="s">
        <v>2345</v>
      </c>
      <c r="S882" s="48"/>
    </row>
    <row r="883" spans="5:30">
      <c r="F883" s="258" t="s">
        <v>2450</v>
      </c>
      <c r="H883" s="258" t="s">
        <v>219</v>
      </c>
      <c r="I883" s="13" t="s">
        <v>192</v>
      </c>
      <c r="J883" s="540" t="s">
        <v>2457</v>
      </c>
      <c r="L883" s="92">
        <v>3.8</v>
      </c>
      <c r="M883" s="92">
        <v>3.8</v>
      </c>
      <c r="N883" s="196">
        <v>1</v>
      </c>
      <c r="P883" s="13" t="s">
        <v>572</v>
      </c>
      <c r="Q883" s="13" t="s">
        <v>572</v>
      </c>
      <c r="R883" s="196" t="s">
        <v>2345</v>
      </c>
      <c r="S883" s="48"/>
    </row>
    <row r="884" spans="5:30">
      <c r="F884" s="258" t="s">
        <v>2450</v>
      </c>
      <c r="H884" s="258" t="s">
        <v>219</v>
      </c>
      <c r="I884" s="13" t="s">
        <v>192</v>
      </c>
      <c r="J884" s="540" t="s">
        <v>2458</v>
      </c>
      <c r="L884" s="92">
        <v>9.27</v>
      </c>
      <c r="M884" s="92">
        <v>9.27</v>
      </c>
      <c r="N884" s="196">
        <v>4</v>
      </c>
      <c r="P884" s="13" t="s">
        <v>572</v>
      </c>
      <c r="Q884" s="13" t="s">
        <v>572</v>
      </c>
      <c r="R884" s="196" t="s">
        <v>2345</v>
      </c>
      <c r="S884" s="48"/>
    </row>
    <row r="885" spans="5:30">
      <c r="F885" s="258" t="s">
        <v>2450</v>
      </c>
      <c r="H885" s="258" t="s">
        <v>219</v>
      </c>
      <c r="I885" s="13" t="s">
        <v>192</v>
      </c>
      <c r="J885" s="540" t="s">
        <v>2459</v>
      </c>
      <c r="L885" s="92">
        <v>10.51</v>
      </c>
      <c r="M885" s="92">
        <v>10.51</v>
      </c>
      <c r="N885" s="196">
        <v>4</v>
      </c>
      <c r="P885" s="13" t="s">
        <v>572</v>
      </c>
      <c r="Q885" s="13" t="s">
        <v>572</v>
      </c>
      <c r="R885" s="196" t="s">
        <v>2345</v>
      </c>
      <c r="S885" s="48"/>
    </row>
    <row r="886" spans="5:30">
      <c r="F886" s="258" t="s">
        <v>2450</v>
      </c>
      <c r="H886" s="258" t="s">
        <v>219</v>
      </c>
      <c r="I886" s="13" t="s">
        <v>1371</v>
      </c>
      <c r="J886" s="540" t="s">
        <v>2460</v>
      </c>
      <c r="L886" s="92">
        <v>6.26</v>
      </c>
      <c r="M886" s="92">
        <v>6.26</v>
      </c>
      <c r="N886" s="196">
        <v>2</v>
      </c>
      <c r="P886" s="13" t="s">
        <v>268</v>
      </c>
      <c r="Q886" s="13" t="s">
        <v>277</v>
      </c>
      <c r="R886" s="196" t="s">
        <v>2345</v>
      </c>
      <c r="S886" s="18" t="s">
        <v>572</v>
      </c>
    </row>
    <row r="887" spans="5:30">
      <c r="F887" s="258" t="s">
        <v>2450</v>
      </c>
      <c r="H887" s="258" t="s">
        <v>219</v>
      </c>
      <c r="I887" s="13" t="s">
        <v>355</v>
      </c>
      <c r="J887" s="540" t="s">
        <v>2461</v>
      </c>
      <c r="L887" s="92">
        <v>24.4</v>
      </c>
      <c r="M887" s="92">
        <v>24.4</v>
      </c>
      <c r="N887" s="196">
        <v>2</v>
      </c>
      <c r="P887" s="13" t="s">
        <v>268</v>
      </c>
      <c r="Q887" s="13" t="s">
        <v>2483</v>
      </c>
      <c r="R887" s="196" t="s">
        <v>2345</v>
      </c>
      <c r="S887" s="48"/>
    </row>
    <row r="888" spans="5:30">
      <c r="F888" s="258" t="s">
        <v>2450</v>
      </c>
      <c r="H888" s="258" t="s">
        <v>219</v>
      </c>
      <c r="I888" s="13" t="s">
        <v>27</v>
      </c>
      <c r="J888" s="540" t="s">
        <v>27</v>
      </c>
      <c r="L888" s="92">
        <v>2.85</v>
      </c>
      <c r="M888" s="92">
        <v>2.85</v>
      </c>
      <c r="N888" s="196">
        <v>1</v>
      </c>
      <c r="P888" s="13" t="s">
        <v>572</v>
      </c>
      <c r="Q888" s="13" t="s">
        <v>572</v>
      </c>
      <c r="R888" s="196" t="s">
        <v>2345</v>
      </c>
      <c r="S888" s="48"/>
    </row>
    <row r="889" spans="5:30" s="439" customFormat="1">
      <c r="E889" s="438"/>
      <c r="F889" s="258" t="s">
        <v>246</v>
      </c>
      <c r="G889" s="13"/>
      <c r="H889" s="258" t="s">
        <v>219</v>
      </c>
      <c r="I889" s="13" t="s">
        <v>194</v>
      </c>
      <c r="J889" s="540" t="s">
        <v>1380</v>
      </c>
      <c r="K889" s="13"/>
      <c r="L889" s="92">
        <v>338.1</v>
      </c>
      <c r="M889" s="92">
        <v>338.1</v>
      </c>
      <c r="N889" s="196"/>
      <c r="O889" s="196"/>
      <c r="P889" s="13" t="s">
        <v>268</v>
      </c>
      <c r="Q889" s="13"/>
      <c r="R889" s="196"/>
      <c r="S889" s="438"/>
      <c r="T889" s="438"/>
      <c r="U889" s="438"/>
      <c r="V889" s="438"/>
      <c r="W889" s="438"/>
      <c r="X889" s="438"/>
      <c r="Y889" s="438"/>
      <c r="Z889" s="438"/>
      <c r="AA889" s="438"/>
      <c r="AB889" s="438"/>
      <c r="AC889" s="438"/>
      <c r="AD889" s="438"/>
    </row>
    <row r="890" spans="5:30" s="439" customFormat="1">
      <c r="E890" s="438"/>
      <c r="F890" s="537" t="s">
        <v>820</v>
      </c>
      <c r="G890" s="491"/>
      <c r="H890" s="491" t="s">
        <v>644</v>
      </c>
      <c r="I890" s="490" t="s">
        <v>602</v>
      </c>
      <c r="J890" s="541" t="s">
        <v>2053</v>
      </c>
      <c r="K890" s="491"/>
      <c r="L890" s="538">
        <v>957.42</v>
      </c>
      <c r="M890" s="538">
        <v>957.42</v>
      </c>
      <c r="N890" s="532"/>
      <c r="O890" s="532"/>
      <c r="P890" s="491"/>
      <c r="Q890" s="491"/>
      <c r="R890" s="532"/>
      <c r="S890" s="438"/>
      <c r="T890" s="438"/>
      <c r="U890" s="438"/>
      <c r="V890" s="438"/>
      <c r="W890" s="438"/>
      <c r="X890" s="438"/>
      <c r="Y890" s="438"/>
      <c r="Z890" s="438"/>
      <c r="AA890" s="438"/>
      <c r="AB890" s="438"/>
      <c r="AC890" s="438"/>
      <c r="AD890" s="438"/>
    </row>
    <row r="891" spans="5:30" s="439" customFormat="1">
      <c r="E891" s="438"/>
      <c r="F891" s="537" t="s">
        <v>820</v>
      </c>
      <c r="G891" s="491"/>
      <c r="H891" s="491" t="s">
        <v>644</v>
      </c>
      <c r="I891" s="491" t="s">
        <v>616</v>
      </c>
      <c r="J891" s="541" t="s">
        <v>2462</v>
      </c>
      <c r="K891" s="491"/>
      <c r="L891" s="538">
        <v>168.81</v>
      </c>
      <c r="M891" s="538">
        <v>168.81</v>
      </c>
      <c r="N891" s="532"/>
      <c r="O891" s="532"/>
      <c r="P891" s="491"/>
      <c r="Q891" s="491"/>
      <c r="R891" s="532"/>
      <c r="S891" s="438"/>
      <c r="T891" s="438"/>
      <c r="U891" s="438"/>
      <c r="V891" s="438"/>
      <c r="W891" s="438"/>
      <c r="X891" s="438"/>
      <c r="Y891" s="438"/>
      <c r="Z891" s="438"/>
      <c r="AA891" s="438"/>
      <c r="AB891" s="438"/>
      <c r="AC891" s="438"/>
      <c r="AD891" s="438"/>
    </row>
    <row r="892" spans="5:30">
      <c r="R892" s="196"/>
      <c r="S892" s="48"/>
    </row>
    <row r="893" spans="5:30">
      <c r="F893" s="542" t="s">
        <v>2348</v>
      </c>
      <c r="G893" s="543"/>
      <c r="H893" s="543"/>
      <c r="I893" s="544"/>
      <c r="J893" s="544"/>
      <c r="K893" s="545"/>
      <c r="L893" s="545"/>
      <c r="M893" s="545"/>
      <c r="N893" s="545"/>
      <c r="O893" s="545"/>
      <c r="P893" s="545"/>
      <c r="Q893" s="545"/>
      <c r="R893" s="545"/>
      <c r="S893" s="48"/>
    </row>
    <row r="894" spans="5:30">
      <c r="F894" s="542" t="s">
        <v>3</v>
      </c>
      <c r="G894" s="546" t="s">
        <v>2465</v>
      </c>
      <c r="H894" s="543"/>
      <c r="I894" s="544"/>
      <c r="J894" s="536"/>
      <c r="K894" s="196"/>
      <c r="L894" s="196"/>
      <c r="M894" s="196"/>
      <c r="O894" s="32"/>
      <c r="P894" s="196"/>
      <c r="Q894" s="196"/>
      <c r="R894" s="196"/>
      <c r="S894" s="48"/>
    </row>
    <row r="895" spans="5:30">
      <c r="F895" s="13" t="s">
        <v>3</v>
      </c>
      <c r="H895" s="13" t="s">
        <v>219</v>
      </c>
      <c r="I895" s="13" t="s">
        <v>194</v>
      </c>
      <c r="J895" s="540" t="s">
        <v>194</v>
      </c>
      <c r="L895" s="92">
        <v>45.82</v>
      </c>
      <c r="M895" s="163">
        <v>45.82</v>
      </c>
      <c r="P895" s="13" t="s">
        <v>268</v>
      </c>
      <c r="Q895" s="13" t="s">
        <v>277</v>
      </c>
      <c r="R895" s="196" t="s">
        <v>2345</v>
      </c>
      <c r="S895" s="18" t="s">
        <v>572</v>
      </c>
    </row>
    <row r="896" spans="5:30">
      <c r="F896" s="13" t="s">
        <v>3</v>
      </c>
      <c r="H896" s="13" t="s">
        <v>219</v>
      </c>
      <c r="I896" s="13" t="s">
        <v>194</v>
      </c>
      <c r="J896" s="540" t="s">
        <v>194</v>
      </c>
      <c r="L896" s="92">
        <v>11.88</v>
      </c>
      <c r="M896" s="163">
        <v>11.88</v>
      </c>
      <c r="P896" s="13" t="s">
        <v>268</v>
      </c>
      <c r="Q896" s="13" t="s">
        <v>277</v>
      </c>
      <c r="R896" s="196" t="s">
        <v>2345</v>
      </c>
      <c r="S896" s="18" t="s">
        <v>572</v>
      </c>
    </row>
    <row r="897" spans="6:19">
      <c r="F897" s="13" t="s">
        <v>3</v>
      </c>
      <c r="H897" s="13" t="s">
        <v>219</v>
      </c>
      <c r="I897" s="13" t="s">
        <v>194</v>
      </c>
      <c r="J897" s="540" t="s">
        <v>194</v>
      </c>
      <c r="L897" s="92">
        <v>34.51</v>
      </c>
      <c r="M897" s="163">
        <v>34.51</v>
      </c>
      <c r="P897" s="13" t="s">
        <v>268</v>
      </c>
      <c r="Q897" s="13" t="s">
        <v>277</v>
      </c>
      <c r="R897" s="196" t="s">
        <v>2345</v>
      </c>
      <c r="S897" s="18" t="s">
        <v>572</v>
      </c>
    </row>
    <row r="898" spans="6:19">
      <c r="F898" s="13" t="s">
        <v>3</v>
      </c>
      <c r="H898" s="13" t="s">
        <v>219</v>
      </c>
      <c r="I898" s="13" t="s">
        <v>194</v>
      </c>
      <c r="J898" s="540" t="s">
        <v>194</v>
      </c>
      <c r="L898" s="92">
        <v>28.36</v>
      </c>
      <c r="M898" s="163">
        <v>28.36</v>
      </c>
      <c r="P898" s="13" t="s">
        <v>268</v>
      </c>
      <c r="Q898" s="13" t="s">
        <v>277</v>
      </c>
      <c r="R898" s="196" t="s">
        <v>2345</v>
      </c>
      <c r="S898" s="18" t="s">
        <v>572</v>
      </c>
    </row>
    <row r="899" spans="6:19">
      <c r="F899" s="13" t="s">
        <v>3</v>
      </c>
      <c r="H899" s="13" t="s">
        <v>219</v>
      </c>
      <c r="I899" s="13" t="s">
        <v>192</v>
      </c>
      <c r="J899" s="540" t="s">
        <v>2466</v>
      </c>
      <c r="L899" s="92">
        <v>10.62</v>
      </c>
      <c r="M899" s="163">
        <v>10.62</v>
      </c>
      <c r="N899" s="196">
        <v>4</v>
      </c>
      <c r="P899" s="13" t="s">
        <v>268</v>
      </c>
      <c r="Q899" s="13" t="s">
        <v>572</v>
      </c>
      <c r="R899" s="196" t="s">
        <v>2284</v>
      </c>
    </row>
    <row r="900" spans="6:19">
      <c r="F900" s="13" t="s">
        <v>3</v>
      </c>
      <c r="H900" s="13" t="s">
        <v>219</v>
      </c>
      <c r="I900" s="13" t="s">
        <v>192</v>
      </c>
      <c r="J900" s="540" t="s">
        <v>2467</v>
      </c>
      <c r="L900" s="92">
        <v>10.62</v>
      </c>
      <c r="M900" s="163">
        <v>10.62</v>
      </c>
      <c r="N900" s="196">
        <v>4</v>
      </c>
      <c r="P900" s="13" t="s">
        <v>572</v>
      </c>
      <c r="Q900" s="13" t="s">
        <v>572</v>
      </c>
      <c r="R900" s="196" t="s">
        <v>2284</v>
      </c>
    </row>
    <row r="901" spans="6:19">
      <c r="F901" s="13" t="s">
        <v>3</v>
      </c>
      <c r="H901" s="13" t="s">
        <v>219</v>
      </c>
      <c r="I901" s="13" t="s">
        <v>192</v>
      </c>
      <c r="J901" s="540" t="s">
        <v>2468</v>
      </c>
      <c r="L901" s="92">
        <v>4.5599999999999996</v>
      </c>
      <c r="M901" s="163">
        <v>4.5599999999999996</v>
      </c>
      <c r="N901" s="196">
        <v>1</v>
      </c>
      <c r="P901" s="13" t="s">
        <v>572</v>
      </c>
      <c r="Q901" s="13" t="s">
        <v>572</v>
      </c>
      <c r="R901" s="196" t="s">
        <v>2284</v>
      </c>
    </row>
    <row r="902" spans="6:19">
      <c r="F902" s="13" t="s">
        <v>3</v>
      </c>
      <c r="H902" s="13" t="s">
        <v>219</v>
      </c>
      <c r="I902" s="13" t="s">
        <v>192</v>
      </c>
      <c r="J902" s="540" t="s">
        <v>2469</v>
      </c>
      <c r="L902" s="92">
        <v>4.5599999999999996</v>
      </c>
      <c r="M902" s="163">
        <v>4.5599999999999996</v>
      </c>
      <c r="N902" s="196">
        <v>1</v>
      </c>
      <c r="P902" s="13" t="s">
        <v>572</v>
      </c>
      <c r="Q902" s="13" t="s">
        <v>572</v>
      </c>
      <c r="R902" s="196" t="s">
        <v>2284</v>
      </c>
    </row>
    <row r="903" spans="6:19">
      <c r="F903" s="13" t="s">
        <v>3</v>
      </c>
      <c r="H903" s="13" t="s">
        <v>219</v>
      </c>
      <c r="I903" s="13" t="s">
        <v>192</v>
      </c>
      <c r="J903" s="540" t="s">
        <v>2470</v>
      </c>
      <c r="L903" s="92">
        <v>8.32</v>
      </c>
      <c r="M903" s="163">
        <v>8.32</v>
      </c>
      <c r="N903" s="196">
        <v>1</v>
      </c>
      <c r="P903" s="13" t="s">
        <v>572</v>
      </c>
      <c r="Q903" s="13" t="s">
        <v>572</v>
      </c>
      <c r="R903" s="196" t="s">
        <v>2284</v>
      </c>
    </row>
    <row r="904" spans="6:19">
      <c r="F904" s="13" t="s">
        <v>3</v>
      </c>
      <c r="H904" s="13" t="s">
        <v>219</v>
      </c>
      <c r="I904" s="13" t="s">
        <v>27</v>
      </c>
      <c r="J904" s="540" t="s">
        <v>27</v>
      </c>
      <c r="L904" s="92">
        <v>2.1800000000000002</v>
      </c>
      <c r="M904" s="163">
        <v>2.1800000000000002</v>
      </c>
      <c r="N904" s="196">
        <v>0</v>
      </c>
      <c r="P904" s="13" t="s">
        <v>572</v>
      </c>
      <c r="Q904" s="13" t="s">
        <v>572</v>
      </c>
      <c r="R904" s="196" t="s">
        <v>2284</v>
      </c>
      <c r="S904" s="18" t="s">
        <v>572</v>
      </c>
    </row>
    <row r="905" spans="6:19">
      <c r="F905" s="13" t="s">
        <v>3</v>
      </c>
      <c r="H905" s="13" t="s">
        <v>219</v>
      </c>
      <c r="I905" s="13" t="s">
        <v>355</v>
      </c>
      <c r="J905" s="540" t="s">
        <v>470</v>
      </c>
      <c r="K905" s="13">
        <v>1</v>
      </c>
      <c r="L905" s="92">
        <v>8.3699999999999992</v>
      </c>
      <c r="M905" s="163">
        <v>8.3699999999999992</v>
      </c>
      <c r="N905" s="196">
        <v>0</v>
      </c>
      <c r="P905" s="13" t="s">
        <v>268</v>
      </c>
      <c r="Q905" s="13" t="s">
        <v>277</v>
      </c>
      <c r="R905" s="196" t="s">
        <v>2345</v>
      </c>
      <c r="S905" s="18" t="s">
        <v>572</v>
      </c>
    </row>
    <row r="906" spans="6:19">
      <c r="F906" s="13" t="s">
        <v>3</v>
      </c>
      <c r="H906" s="13" t="s">
        <v>219</v>
      </c>
      <c r="I906" s="13" t="s">
        <v>249</v>
      </c>
      <c r="J906" s="540" t="s">
        <v>2471</v>
      </c>
      <c r="K906" s="13">
        <v>2</v>
      </c>
      <c r="L906" s="92">
        <v>11.62</v>
      </c>
      <c r="M906" s="163">
        <v>11.62</v>
      </c>
      <c r="N906" s="196">
        <v>6</v>
      </c>
      <c r="P906" s="13" t="s">
        <v>268</v>
      </c>
      <c r="Q906" s="13" t="s">
        <v>277</v>
      </c>
      <c r="R906" s="196" t="s">
        <v>2345</v>
      </c>
      <c r="S906" s="18" t="s">
        <v>572</v>
      </c>
    </row>
    <row r="907" spans="6:19">
      <c r="F907" s="13" t="s">
        <v>3</v>
      </c>
      <c r="H907" s="13" t="s">
        <v>219</v>
      </c>
      <c r="I907" s="13" t="s">
        <v>249</v>
      </c>
      <c r="J907" s="540" t="s">
        <v>2471</v>
      </c>
      <c r="K907" s="13">
        <v>3</v>
      </c>
      <c r="L907" s="92">
        <v>11.62</v>
      </c>
      <c r="M907" s="163">
        <v>11.62</v>
      </c>
      <c r="N907" s="196">
        <v>6</v>
      </c>
      <c r="P907" s="13" t="s">
        <v>268</v>
      </c>
      <c r="Q907" s="13" t="s">
        <v>277</v>
      </c>
      <c r="R907" s="196" t="s">
        <v>2345</v>
      </c>
      <c r="S907" s="18" t="s">
        <v>572</v>
      </c>
    </row>
    <row r="908" spans="6:19">
      <c r="F908" s="13" t="s">
        <v>3</v>
      </c>
      <c r="H908" s="13" t="s">
        <v>219</v>
      </c>
      <c r="I908" s="13" t="s">
        <v>249</v>
      </c>
      <c r="J908" s="540" t="s">
        <v>2471</v>
      </c>
      <c r="K908" s="13">
        <v>4</v>
      </c>
      <c r="L908" s="92">
        <v>11.62</v>
      </c>
      <c r="M908" s="163">
        <v>11.62</v>
      </c>
      <c r="N908" s="196">
        <v>6</v>
      </c>
      <c r="P908" s="13" t="s">
        <v>268</v>
      </c>
      <c r="Q908" s="13" t="s">
        <v>277</v>
      </c>
      <c r="R908" s="196" t="s">
        <v>2345</v>
      </c>
      <c r="S908" s="18" t="s">
        <v>572</v>
      </c>
    </row>
    <row r="909" spans="6:19">
      <c r="F909" s="13" t="s">
        <v>3</v>
      </c>
      <c r="H909" s="13" t="s">
        <v>219</v>
      </c>
      <c r="I909" s="13" t="s">
        <v>249</v>
      </c>
      <c r="J909" s="540" t="s">
        <v>2471</v>
      </c>
      <c r="K909" s="13">
        <v>5</v>
      </c>
      <c r="L909" s="92">
        <v>11.62</v>
      </c>
      <c r="M909" s="163">
        <v>11.62</v>
      </c>
      <c r="N909" s="196">
        <v>6</v>
      </c>
      <c r="P909" s="13" t="s">
        <v>268</v>
      </c>
      <c r="Q909" s="13" t="s">
        <v>277</v>
      </c>
      <c r="R909" s="196" t="s">
        <v>2345</v>
      </c>
      <c r="S909" s="18" t="s">
        <v>572</v>
      </c>
    </row>
    <row r="910" spans="6:19">
      <c r="F910" s="13" t="s">
        <v>3</v>
      </c>
      <c r="H910" s="13" t="s">
        <v>219</v>
      </c>
      <c r="I910" s="13" t="s">
        <v>249</v>
      </c>
      <c r="J910" s="540" t="s">
        <v>2472</v>
      </c>
      <c r="K910" s="13">
        <v>6</v>
      </c>
      <c r="L910" s="92">
        <v>18.260000000000002</v>
      </c>
      <c r="M910" s="163">
        <v>18.260000000000002</v>
      </c>
      <c r="N910" s="196">
        <v>8</v>
      </c>
      <c r="P910" s="13" t="s">
        <v>268</v>
      </c>
      <c r="Q910" s="13" t="s">
        <v>277</v>
      </c>
      <c r="R910" s="196" t="s">
        <v>2345</v>
      </c>
      <c r="S910" s="18" t="s">
        <v>572</v>
      </c>
    </row>
    <row r="911" spans="6:19">
      <c r="F911" s="13" t="s">
        <v>3</v>
      </c>
      <c r="H911" s="13" t="s">
        <v>219</v>
      </c>
      <c r="I911" s="13" t="s">
        <v>249</v>
      </c>
      <c r="J911" s="540" t="s">
        <v>2473</v>
      </c>
      <c r="K911" s="13">
        <v>7</v>
      </c>
      <c r="L911" s="92">
        <v>4.12</v>
      </c>
      <c r="M911" s="163">
        <v>4.12</v>
      </c>
      <c r="N911" s="196">
        <v>1</v>
      </c>
      <c r="P911" s="13" t="s">
        <v>268</v>
      </c>
      <c r="Q911" s="13" t="s">
        <v>277</v>
      </c>
      <c r="R911" s="196" t="s">
        <v>2345</v>
      </c>
      <c r="S911" s="18" t="s">
        <v>572</v>
      </c>
    </row>
    <row r="912" spans="6:19">
      <c r="F912" s="13" t="s">
        <v>3</v>
      </c>
      <c r="H912" s="13" t="s">
        <v>219</v>
      </c>
      <c r="I912" s="13" t="s">
        <v>249</v>
      </c>
      <c r="J912" s="540" t="s">
        <v>2473</v>
      </c>
      <c r="K912" s="13">
        <v>8</v>
      </c>
      <c r="L912" s="92">
        <v>4.12</v>
      </c>
      <c r="M912" s="163">
        <v>4.12</v>
      </c>
      <c r="N912" s="196">
        <v>1</v>
      </c>
      <c r="P912" s="13" t="s">
        <v>268</v>
      </c>
      <c r="Q912" s="13" t="s">
        <v>277</v>
      </c>
      <c r="R912" s="196" t="s">
        <v>2345</v>
      </c>
      <c r="S912" s="18" t="s">
        <v>572</v>
      </c>
    </row>
    <row r="913" spans="6:19">
      <c r="F913" s="13" t="s">
        <v>3</v>
      </c>
      <c r="H913" s="13" t="s">
        <v>219</v>
      </c>
      <c r="I913" s="13" t="s">
        <v>249</v>
      </c>
      <c r="J913" s="540" t="s">
        <v>2474</v>
      </c>
      <c r="K913" s="13">
        <v>9</v>
      </c>
      <c r="L913" s="92">
        <v>52</v>
      </c>
      <c r="M913" s="163">
        <v>52</v>
      </c>
      <c r="N913" s="196">
        <v>20</v>
      </c>
      <c r="P913" s="13" t="s">
        <v>268</v>
      </c>
      <c r="Q913" s="13" t="s">
        <v>277</v>
      </c>
      <c r="R913" s="196" t="s">
        <v>2345</v>
      </c>
      <c r="S913" s="18" t="s">
        <v>572</v>
      </c>
    </row>
    <row r="914" spans="6:19">
      <c r="F914" s="13" t="s">
        <v>3</v>
      </c>
      <c r="H914" s="13" t="s">
        <v>219</v>
      </c>
      <c r="I914" s="13" t="s">
        <v>249</v>
      </c>
      <c r="J914" s="540" t="s">
        <v>2475</v>
      </c>
      <c r="K914" s="13">
        <v>10</v>
      </c>
      <c r="L914" s="92">
        <v>37.020000000000003</v>
      </c>
      <c r="M914" s="163">
        <v>37.020000000000003</v>
      </c>
      <c r="N914" s="196">
        <v>6</v>
      </c>
      <c r="P914" s="13" t="s">
        <v>268</v>
      </c>
      <c r="Q914" s="13" t="s">
        <v>277</v>
      </c>
      <c r="R914" s="196" t="s">
        <v>2345</v>
      </c>
      <c r="S914" s="18" t="s">
        <v>572</v>
      </c>
    </row>
    <row r="915" spans="6:19">
      <c r="F915" s="13" t="s">
        <v>3</v>
      </c>
      <c r="H915" s="13" t="s">
        <v>219</v>
      </c>
      <c r="I915" s="13" t="s">
        <v>249</v>
      </c>
      <c r="J915" s="540" t="s">
        <v>2476</v>
      </c>
      <c r="K915" s="13">
        <v>11</v>
      </c>
      <c r="L915" s="92">
        <v>173.39</v>
      </c>
      <c r="M915" s="163">
        <v>173.39</v>
      </c>
      <c r="N915" s="196">
        <v>98</v>
      </c>
      <c r="P915" s="13" t="s">
        <v>268</v>
      </c>
      <c r="Q915" s="13" t="s">
        <v>277</v>
      </c>
      <c r="R915" s="196" t="s">
        <v>2345</v>
      </c>
      <c r="S915" s="18" t="s">
        <v>572</v>
      </c>
    </row>
    <row r="916" spans="6:19">
      <c r="F916" s="13" t="s">
        <v>3</v>
      </c>
      <c r="H916" s="13" t="s">
        <v>219</v>
      </c>
      <c r="I916" s="13" t="s">
        <v>249</v>
      </c>
      <c r="J916" s="540" t="s">
        <v>226</v>
      </c>
      <c r="K916" s="13">
        <v>12</v>
      </c>
      <c r="L916" s="92">
        <v>274.26</v>
      </c>
      <c r="M916" s="163">
        <v>274.26</v>
      </c>
      <c r="N916" s="196">
        <v>12</v>
      </c>
      <c r="P916" s="13" t="s">
        <v>268</v>
      </c>
      <c r="Q916" s="13" t="s">
        <v>277</v>
      </c>
      <c r="R916" s="196" t="s">
        <v>2345</v>
      </c>
      <c r="S916" s="18" t="s">
        <v>572</v>
      </c>
    </row>
    <row r="917" spans="6:19">
      <c r="F917" s="13" t="s">
        <v>3</v>
      </c>
      <c r="H917" s="13" t="s">
        <v>219</v>
      </c>
      <c r="I917" s="13" t="s">
        <v>249</v>
      </c>
      <c r="J917" s="540" t="s">
        <v>2477</v>
      </c>
      <c r="K917" s="13">
        <v>13</v>
      </c>
      <c r="L917" s="92">
        <v>19.39</v>
      </c>
      <c r="M917" s="163">
        <v>19.39</v>
      </c>
      <c r="N917" s="196">
        <v>4</v>
      </c>
      <c r="P917" s="13" t="s">
        <v>268</v>
      </c>
      <c r="Q917" s="13" t="s">
        <v>277</v>
      </c>
      <c r="R917" s="196" t="s">
        <v>2345</v>
      </c>
      <c r="S917" s="18" t="s">
        <v>572</v>
      </c>
    </row>
    <row r="918" spans="6:19">
      <c r="F918" s="13" t="s">
        <v>3</v>
      </c>
      <c r="H918" s="13" t="s">
        <v>219</v>
      </c>
      <c r="I918" s="13" t="s">
        <v>249</v>
      </c>
      <c r="J918" s="540" t="s">
        <v>2478</v>
      </c>
      <c r="K918" s="13">
        <v>14</v>
      </c>
      <c r="L918" s="92">
        <v>28.05</v>
      </c>
      <c r="M918" s="163">
        <v>28.05</v>
      </c>
      <c r="N918" s="196">
        <v>6</v>
      </c>
      <c r="P918" s="13" t="s">
        <v>268</v>
      </c>
      <c r="Q918" s="13" t="s">
        <v>277</v>
      </c>
      <c r="R918" s="196" t="s">
        <v>2345</v>
      </c>
      <c r="S918" s="18" t="s">
        <v>572</v>
      </c>
    </row>
    <row r="919" spans="6:19">
      <c r="F919" s="13" t="s">
        <v>3</v>
      </c>
      <c r="H919" s="13" t="s">
        <v>219</v>
      </c>
      <c r="I919" s="13" t="s">
        <v>249</v>
      </c>
      <c r="J919" s="540" t="s">
        <v>1114</v>
      </c>
      <c r="K919" s="13">
        <v>15</v>
      </c>
      <c r="L919" s="92">
        <v>25.9</v>
      </c>
      <c r="M919" s="163">
        <v>25.9</v>
      </c>
      <c r="N919" s="196">
        <v>6</v>
      </c>
      <c r="P919" s="13" t="s">
        <v>268</v>
      </c>
      <c r="Q919" s="13" t="s">
        <v>277</v>
      </c>
      <c r="R919" s="196" t="s">
        <v>2345</v>
      </c>
      <c r="S919" s="18" t="s">
        <v>572</v>
      </c>
    </row>
    <row r="920" spans="6:19">
      <c r="F920" s="13" t="s">
        <v>3</v>
      </c>
      <c r="H920" s="13" t="s">
        <v>219</v>
      </c>
      <c r="I920" s="13" t="s">
        <v>355</v>
      </c>
      <c r="J920" s="540" t="s">
        <v>217</v>
      </c>
      <c r="K920" s="13">
        <v>16</v>
      </c>
      <c r="L920" s="92">
        <v>18.079999999999998</v>
      </c>
      <c r="M920" s="163">
        <v>18.079999999999998</v>
      </c>
      <c r="N920" s="196">
        <v>6</v>
      </c>
      <c r="P920" s="13" t="s">
        <v>268</v>
      </c>
      <c r="Q920" s="13" t="s">
        <v>277</v>
      </c>
      <c r="R920" s="196" t="s">
        <v>2345</v>
      </c>
      <c r="S920" s="18" t="s">
        <v>572</v>
      </c>
    </row>
    <row r="921" spans="6:19">
      <c r="F921" s="13" t="s">
        <v>3</v>
      </c>
      <c r="H921" s="13" t="s">
        <v>219</v>
      </c>
      <c r="I921" s="13" t="s">
        <v>249</v>
      </c>
      <c r="J921" s="540" t="s">
        <v>2479</v>
      </c>
      <c r="K921" s="13">
        <v>17</v>
      </c>
      <c r="L921" s="92">
        <v>79.31</v>
      </c>
      <c r="M921" s="163">
        <v>79.31</v>
      </c>
      <c r="N921" s="196">
        <v>15</v>
      </c>
      <c r="P921" s="13" t="s">
        <v>268</v>
      </c>
      <c r="Q921" s="13" t="s">
        <v>277</v>
      </c>
      <c r="R921" s="196" t="s">
        <v>2345</v>
      </c>
      <c r="S921" s="18" t="s">
        <v>572</v>
      </c>
    </row>
    <row r="922" spans="6:19">
      <c r="F922" s="13" t="s">
        <v>3</v>
      </c>
      <c r="H922" s="13" t="s">
        <v>219</v>
      </c>
      <c r="I922" s="13" t="s">
        <v>249</v>
      </c>
      <c r="J922" s="540" t="s">
        <v>2480</v>
      </c>
      <c r="K922" s="13">
        <v>18</v>
      </c>
      <c r="L922" s="92">
        <v>69.98</v>
      </c>
      <c r="M922" s="163">
        <v>69.98</v>
      </c>
      <c r="N922" s="196">
        <v>5</v>
      </c>
      <c r="P922" s="13" t="s">
        <v>268</v>
      </c>
      <c r="Q922" s="13" t="s">
        <v>277</v>
      </c>
      <c r="R922" s="196" t="s">
        <v>2345</v>
      </c>
      <c r="S922" s="18" t="s">
        <v>572</v>
      </c>
    </row>
    <row r="923" spans="6:19">
      <c r="F923" s="13" t="s">
        <v>3</v>
      </c>
      <c r="H923" s="13" t="s">
        <v>219</v>
      </c>
      <c r="I923" s="13" t="s">
        <v>1371</v>
      </c>
      <c r="J923" s="540" t="s">
        <v>2481</v>
      </c>
      <c r="L923" s="92">
        <v>78.430000000000007</v>
      </c>
      <c r="M923" s="163">
        <v>78.430000000000007</v>
      </c>
      <c r="N923" s="196">
        <v>4</v>
      </c>
      <c r="P923" s="13" t="s">
        <v>268</v>
      </c>
      <c r="Q923" s="13" t="s">
        <v>277</v>
      </c>
      <c r="R923" s="196" t="s">
        <v>279</v>
      </c>
      <c r="S923" s="18" t="s">
        <v>572</v>
      </c>
    </row>
    <row r="924" spans="6:19">
      <c r="F924" s="547" t="s">
        <v>820</v>
      </c>
      <c r="G924" s="223"/>
      <c r="H924" s="223" t="s">
        <v>644</v>
      </c>
      <c r="I924" s="223" t="s">
        <v>2053</v>
      </c>
      <c r="J924" s="548" t="s">
        <v>2053</v>
      </c>
      <c r="K924" s="223"/>
      <c r="L924" s="549">
        <v>450</v>
      </c>
      <c r="M924" s="550"/>
      <c r="N924" s="551"/>
      <c r="O924" s="551"/>
      <c r="P924" s="223"/>
      <c r="Q924" s="223"/>
      <c r="R924" s="551"/>
      <c r="S924" s="48"/>
    </row>
    <row r="925" spans="6:19">
      <c r="R925" s="196"/>
      <c r="S925" s="48"/>
    </row>
    <row r="926" spans="6:19">
      <c r="R926" s="196"/>
      <c r="S926" s="48"/>
    </row>
    <row r="927" spans="6:19">
      <c r="R927" s="196"/>
      <c r="S927" s="48"/>
    </row>
    <row r="928" spans="6:19">
      <c r="R928" s="196"/>
      <c r="S928" s="48"/>
    </row>
    <row r="929" spans="18:19">
      <c r="R929" s="196"/>
      <c r="S929" s="48"/>
    </row>
    <row r="930" spans="18:19">
      <c r="R930" s="196"/>
      <c r="S930" s="48"/>
    </row>
    <row r="931" spans="18:19">
      <c r="R931" s="196"/>
      <c r="S931" s="48"/>
    </row>
    <row r="932" spans="18:19">
      <c r="R932" s="196"/>
      <c r="S932" s="48"/>
    </row>
    <row r="933" spans="18:19">
      <c r="R933" s="196"/>
      <c r="S933" s="48"/>
    </row>
    <row r="934" spans="18:19">
      <c r="R934" s="196"/>
      <c r="S934" s="48"/>
    </row>
    <row r="935" spans="18:19">
      <c r="R935" s="196"/>
      <c r="S935" s="48"/>
    </row>
    <row r="936" spans="18:19">
      <c r="R936" s="196"/>
      <c r="S936" s="48"/>
    </row>
    <row r="937" spans="18:19">
      <c r="R937" s="196"/>
      <c r="S937" s="48"/>
    </row>
    <row r="938" spans="18:19">
      <c r="R938" s="196"/>
      <c r="S938" s="48"/>
    </row>
    <row r="939" spans="18:19">
      <c r="R939" s="196"/>
      <c r="S939" s="48"/>
    </row>
    <row r="940" spans="18:19">
      <c r="R940" s="196"/>
      <c r="S940" s="48"/>
    </row>
    <row r="941" spans="18:19">
      <c r="R941" s="196"/>
      <c r="S941" s="48"/>
    </row>
    <row r="942" spans="18:19">
      <c r="R942" s="196"/>
      <c r="S942" s="48"/>
    </row>
    <row r="943" spans="18:19">
      <c r="R943" s="196"/>
      <c r="S943" s="48"/>
    </row>
    <row r="944" spans="18:19">
      <c r="R944" s="196"/>
      <c r="S944" s="48"/>
    </row>
    <row r="945" spans="18:19">
      <c r="R945" s="196"/>
      <c r="S945" s="48"/>
    </row>
    <row r="946" spans="18:19">
      <c r="R946" s="196"/>
      <c r="S946" s="48"/>
    </row>
    <row r="947" spans="18:19">
      <c r="R947" s="196"/>
      <c r="S947" s="48"/>
    </row>
    <row r="948" spans="18:19">
      <c r="R948" s="196"/>
      <c r="S948" s="48"/>
    </row>
    <row r="949" spans="18:19">
      <c r="R949" s="196"/>
      <c r="S949" s="48"/>
    </row>
    <row r="950" spans="18:19">
      <c r="R950" s="196"/>
      <c r="S950" s="48"/>
    </row>
    <row r="951" spans="18:19">
      <c r="R951" s="196"/>
      <c r="S951" s="48"/>
    </row>
    <row r="952" spans="18:19">
      <c r="R952" s="196"/>
      <c r="S952" s="48"/>
    </row>
    <row r="953" spans="18:19">
      <c r="R953" s="196"/>
      <c r="S953" s="48"/>
    </row>
    <row r="954" spans="18:19">
      <c r="R954" s="196"/>
      <c r="S954" s="48"/>
    </row>
    <row r="955" spans="18:19">
      <c r="R955" s="196"/>
      <c r="S955" s="48"/>
    </row>
    <row r="956" spans="18:19">
      <c r="R956" s="196"/>
      <c r="S956" s="48"/>
    </row>
    <row r="957" spans="18:19">
      <c r="R957" s="196"/>
      <c r="S957" s="48"/>
    </row>
    <row r="958" spans="18:19">
      <c r="R958" s="196"/>
      <c r="S958" s="48"/>
    </row>
    <row r="959" spans="18:19">
      <c r="R959" s="196"/>
      <c r="S959" s="48"/>
    </row>
    <row r="960" spans="18:19">
      <c r="R960" s="196"/>
      <c r="S960" s="48"/>
    </row>
    <row r="961" spans="18:19">
      <c r="R961" s="196"/>
      <c r="S961" s="48"/>
    </row>
    <row r="962" spans="18:19">
      <c r="R962" s="196"/>
      <c r="S962" s="48"/>
    </row>
    <row r="963" spans="18:19">
      <c r="R963" s="196"/>
      <c r="S963" s="48"/>
    </row>
    <row r="964" spans="18:19">
      <c r="R964" s="196"/>
      <c r="S964" s="48"/>
    </row>
    <row r="965" spans="18:19">
      <c r="R965" s="196"/>
      <c r="S965" s="48"/>
    </row>
    <row r="966" spans="18:19">
      <c r="R966" s="196"/>
      <c r="S966" s="48"/>
    </row>
    <row r="967" spans="18:19">
      <c r="R967" s="196"/>
      <c r="S967" s="48"/>
    </row>
    <row r="968" spans="18:19">
      <c r="R968" s="196"/>
      <c r="S968" s="48"/>
    </row>
    <row r="969" spans="18:19">
      <c r="R969" s="196"/>
      <c r="S969" s="48"/>
    </row>
    <row r="970" spans="18:19">
      <c r="R970" s="196"/>
      <c r="S970" s="48"/>
    </row>
    <row r="971" spans="18:19">
      <c r="R971" s="196"/>
      <c r="S971" s="48"/>
    </row>
    <row r="972" spans="18:19">
      <c r="R972" s="196"/>
      <c r="S972" s="48"/>
    </row>
    <row r="973" spans="18:19">
      <c r="R973" s="196"/>
      <c r="S973" s="48"/>
    </row>
    <row r="974" spans="18:19">
      <c r="R974" s="196"/>
      <c r="S974" s="48"/>
    </row>
    <row r="975" spans="18:19">
      <c r="R975" s="196"/>
      <c r="S975" s="48"/>
    </row>
    <row r="976" spans="18:19">
      <c r="R976" s="196"/>
      <c r="S976" s="48"/>
    </row>
    <row r="977" spans="18:19">
      <c r="R977" s="196"/>
      <c r="S977" s="48"/>
    </row>
    <row r="978" spans="18:19">
      <c r="R978" s="196"/>
      <c r="S978" s="48"/>
    </row>
    <row r="979" spans="18:19">
      <c r="R979" s="196"/>
      <c r="S979" s="48"/>
    </row>
    <row r="980" spans="18:19">
      <c r="R980" s="196"/>
      <c r="S980" s="48"/>
    </row>
    <row r="981" spans="18:19">
      <c r="R981" s="196"/>
      <c r="S981" s="48"/>
    </row>
    <row r="982" spans="18:19">
      <c r="R982" s="196"/>
      <c r="S982" s="48"/>
    </row>
    <row r="983" spans="18:19">
      <c r="R983" s="196"/>
      <c r="S983" s="48"/>
    </row>
    <row r="984" spans="18:19">
      <c r="R984" s="196"/>
      <c r="S984" s="48"/>
    </row>
    <row r="985" spans="18:19">
      <c r="R985" s="196"/>
      <c r="S985" s="48"/>
    </row>
    <row r="986" spans="18:19">
      <c r="R986" s="196"/>
      <c r="S986" s="48"/>
    </row>
    <row r="987" spans="18:19">
      <c r="R987" s="196"/>
      <c r="S987" s="48"/>
    </row>
    <row r="988" spans="18:19">
      <c r="R988" s="196"/>
      <c r="S988" s="48"/>
    </row>
    <row r="989" spans="18:19">
      <c r="R989" s="196"/>
      <c r="S989" s="48"/>
    </row>
    <row r="990" spans="18:19">
      <c r="R990" s="196"/>
      <c r="S990" s="48"/>
    </row>
    <row r="991" spans="18:19">
      <c r="R991" s="196"/>
      <c r="S991" s="48"/>
    </row>
    <row r="992" spans="18:19">
      <c r="R992" s="196"/>
      <c r="S992" s="48"/>
    </row>
    <row r="993" spans="18:19">
      <c r="R993" s="196"/>
      <c r="S993" s="48"/>
    </row>
    <row r="994" spans="18:19">
      <c r="R994" s="196"/>
      <c r="S994" s="48"/>
    </row>
    <row r="995" spans="18:19">
      <c r="R995" s="196"/>
      <c r="S995" s="48"/>
    </row>
    <row r="996" spans="18:19">
      <c r="R996" s="196"/>
      <c r="S996" s="48"/>
    </row>
    <row r="997" spans="18:19">
      <c r="R997" s="196"/>
      <c r="S997" s="48"/>
    </row>
    <row r="998" spans="18:19">
      <c r="R998" s="196"/>
      <c r="S998" s="48"/>
    </row>
    <row r="999" spans="18:19">
      <c r="R999" s="196"/>
      <c r="S999" s="48"/>
    </row>
    <row r="1000" spans="18:19">
      <c r="R1000" s="196"/>
      <c r="S1000" s="48"/>
    </row>
    <row r="1001" spans="18:19">
      <c r="R1001" s="196"/>
      <c r="S1001" s="48"/>
    </row>
    <row r="1002" spans="18:19">
      <c r="R1002" s="196"/>
      <c r="S1002" s="48"/>
    </row>
    <row r="1003" spans="18:19">
      <c r="R1003" s="196"/>
      <c r="S1003" s="48"/>
    </row>
    <row r="1004" spans="18:19">
      <c r="R1004" s="196"/>
      <c r="S1004" s="48"/>
    </row>
    <row r="1005" spans="18:19">
      <c r="R1005" s="196"/>
      <c r="S1005" s="48"/>
    </row>
    <row r="1006" spans="18:19">
      <c r="R1006" s="196"/>
      <c r="S1006" s="48"/>
    </row>
    <row r="1007" spans="18:19">
      <c r="R1007" s="196"/>
      <c r="S1007" s="48"/>
    </row>
    <row r="1008" spans="18:19">
      <c r="R1008" s="196"/>
      <c r="S1008" s="48"/>
    </row>
    <row r="1009" spans="18:19">
      <c r="R1009" s="196"/>
      <c r="S1009" s="48"/>
    </row>
    <row r="1010" spans="18:19">
      <c r="R1010" s="196"/>
      <c r="S1010" s="48"/>
    </row>
    <row r="1011" spans="18:19">
      <c r="R1011" s="196"/>
      <c r="S1011" s="48"/>
    </row>
    <row r="1012" spans="18:19">
      <c r="R1012" s="196"/>
      <c r="S1012" s="48"/>
    </row>
    <row r="1013" spans="18:19">
      <c r="R1013" s="196"/>
      <c r="S1013" s="48"/>
    </row>
    <row r="1014" spans="18:19">
      <c r="R1014" s="196"/>
      <c r="S1014" s="48"/>
    </row>
    <row r="1015" spans="18:19">
      <c r="R1015" s="196"/>
      <c r="S1015" s="48"/>
    </row>
    <row r="1016" spans="18:19">
      <c r="R1016" s="196"/>
      <c r="S1016" s="48"/>
    </row>
    <row r="1017" spans="18:19">
      <c r="R1017" s="196"/>
      <c r="S1017" s="48"/>
    </row>
    <row r="1018" spans="18:19">
      <c r="R1018" s="196"/>
      <c r="S1018" s="48"/>
    </row>
    <row r="1019" spans="18:19">
      <c r="R1019" s="196"/>
      <c r="S1019" s="48"/>
    </row>
    <row r="1020" spans="18:19">
      <c r="R1020" s="196"/>
      <c r="S1020" s="48"/>
    </row>
    <row r="1021" spans="18:19">
      <c r="R1021" s="196"/>
      <c r="S1021" s="48"/>
    </row>
    <row r="1022" spans="18:19">
      <c r="R1022" s="196"/>
      <c r="S1022" s="48"/>
    </row>
    <row r="1023" spans="18:19">
      <c r="R1023" s="196"/>
      <c r="S1023" s="48"/>
    </row>
    <row r="1024" spans="18:19">
      <c r="R1024" s="196"/>
      <c r="S1024" s="48"/>
    </row>
    <row r="1025" spans="18:19">
      <c r="R1025" s="196"/>
      <c r="S1025" s="48"/>
    </row>
    <row r="1026" spans="18:19">
      <c r="R1026" s="196"/>
      <c r="S1026" s="48"/>
    </row>
    <row r="1027" spans="18:19">
      <c r="R1027" s="196"/>
      <c r="S1027" s="48"/>
    </row>
    <row r="1028" spans="18:19">
      <c r="R1028" s="196"/>
      <c r="S1028" s="48"/>
    </row>
    <row r="1029" spans="18:19">
      <c r="R1029" s="196"/>
      <c r="S1029" s="48"/>
    </row>
    <row r="1030" spans="18:19">
      <c r="R1030" s="196"/>
      <c r="S1030" s="48"/>
    </row>
    <row r="1031" spans="18:19">
      <c r="R1031" s="196"/>
      <c r="S1031" s="48"/>
    </row>
    <row r="1032" spans="18:19">
      <c r="R1032" s="196"/>
      <c r="S1032" s="48"/>
    </row>
    <row r="1033" spans="18:19">
      <c r="R1033" s="196"/>
      <c r="S1033" s="48"/>
    </row>
    <row r="1034" spans="18:19">
      <c r="R1034" s="196"/>
      <c r="S1034" s="48"/>
    </row>
    <row r="1035" spans="18:19">
      <c r="R1035" s="196"/>
      <c r="S1035" s="48"/>
    </row>
    <row r="1036" spans="18:19">
      <c r="R1036" s="196"/>
      <c r="S1036" s="48"/>
    </row>
    <row r="1037" spans="18:19">
      <c r="R1037" s="196"/>
      <c r="S1037" s="48"/>
    </row>
    <row r="1038" spans="18:19">
      <c r="R1038" s="196"/>
      <c r="S1038" s="48"/>
    </row>
    <row r="1039" spans="18:19">
      <c r="R1039" s="196"/>
      <c r="S1039" s="48"/>
    </row>
    <row r="1040" spans="18:19">
      <c r="R1040" s="196"/>
      <c r="S1040" s="48"/>
    </row>
    <row r="1041" spans="18:19">
      <c r="R1041" s="196"/>
      <c r="S1041" s="48"/>
    </row>
    <row r="1042" spans="18:19">
      <c r="R1042" s="196"/>
      <c r="S1042" s="48"/>
    </row>
    <row r="1043" spans="18:19">
      <c r="R1043" s="196"/>
      <c r="S1043" s="48"/>
    </row>
    <row r="1044" spans="18:19">
      <c r="R1044" s="196"/>
      <c r="S1044" s="48"/>
    </row>
    <row r="1045" spans="18:19">
      <c r="R1045" s="196"/>
      <c r="S1045" s="48"/>
    </row>
    <row r="1046" spans="18:19">
      <c r="R1046" s="196"/>
      <c r="S1046" s="48"/>
    </row>
    <row r="1047" spans="18:19">
      <c r="R1047" s="196"/>
      <c r="S1047" s="48"/>
    </row>
    <row r="1048" spans="18:19">
      <c r="R1048" s="196"/>
      <c r="S1048" s="48"/>
    </row>
    <row r="1049" spans="18:19">
      <c r="R1049" s="196"/>
      <c r="S1049" s="48"/>
    </row>
    <row r="1050" spans="18:19">
      <c r="R1050" s="196"/>
      <c r="S1050" s="48"/>
    </row>
    <row r="1051" spans="18:19">
      <c r="R1051" s="196"/>
      <c r="S1051" s="48"/>
    </row>
    <row r="1052" spans="18:19">
      <c r="R1052" s="196"/>
      <c r="S1052" s="48"/>
    </row>
    <row r="1053" spans="18:19">
      <c r="R1053" s="196"/>
      <c r="S1053" s="48"/>
    </row>
    <row r="1054" spans="18:19">
      <c r="R1054" s="196"/>
      <c r="S1054" s="48"/>
    </row>
    <row r="1055" spans="18:19">
      <c r="R1055" s="196"/>
      <c r="S1055" s="48"/>
    </row>
    <row r="1056" spans="18:19">
      <c r="R1056" s="196"/>
      <c r="S1056" s="48"/>
    </row>
    <row r="1057" spans="18:19">
      <c r="R1057" s="196"/>
      <c r="S1057" s="48"/>
    </row>
    <row r="1058" spans="18:19">
      <c r="R1058" s="196"/>
      <c r="S1058" s="48"/>
    </row>
    <row r="1059" spans="18:19">
      <c r="R1059" s="196"/>
      <c r="S1059" s="48"/>
    </row>
    <row r="1060" spans="18:19">
      <c r="R1060" s="196"/>
      <c r="S1060" s="48"/>
    </row>
    <row r="1061" spans="18:19">
      <c r="R1061" s="196"/>
      <c r="S1061" s="48"/>
    </row>
    <row r="1062" spans="18:19">
      <c r="R1062" s="196"/>
      <c r="S1062" s="48"/>
    </row>
    <row r="1063" spans="18:19">
      <c r="R1063" s="196"/>
      <c r="S1063" s="48"/>
    </row>
    <row r="1064" spans="18:19">
      <c r="R1064" s="196"/>
      <c r="S1064" s="48"/>
    </row>
    <row r="1065" spans="18:19">
      <c r="R1065" s="196"/>
      <c r="S1065" s="48"/>
    </row>
    <row r="1066" spans="18:19">
      <c r="R1066" s="196"/>
      <c r="S1066" s="48"/>
    </row>
    <row r="1067" spans="18:19">
      <c r="R1067" s="196"/>
      <c r="S1067" s="48"/>
    </row>
    <row r="1068" spans="18:19">
      <c r="R1068" s="196"/>
      <c r="S1068" s="48"/>
    </row>
    <row r="1069" spans="18:19">
      <c r="R1069" s="196"/>
      <c r="S1069" s="48"/>
    </row>
    <row r="1070" spans="18:19">
      <c r="R1070" s="196"/>
      <c r="S1070" s="48"/>
    </row>
    <row r="1071" spans="18:19">
      <c r="R1071" s="196"/>
      <c r="S1071" s="48"/>
    </row>
    <row r="1072" spans="18:19">
      <c r="R1072" s="196"/>
      <c r="S1072" s="48"/>
    </row>
    <row r="1073" spans="18:19">
      <c r="R1073" s="196"/>
      <c r="S1073" s="48"/>
    </row>
    <row r="1074" spans="18:19">
      <c r="R1074" s="196"/>
      <c r="S1074" s="48"/>
    </row>
    <row r="1075" spans="18:19">
      <c r="R1075" s="196"/>
      <c r="S1075" s="48"/>
    </row>
    <row r="1076" spans="18:19">
      <c r="R1076" s="196"/>
      <c r="S1076" s="48"/>
    </row>
    <row r="1077" spans="18:19">
      <c r="R1077" s="196"/>
      <c r="S1077" s="48"/>
    </row>
    <row r="1078" spans="18:19">
      <c r="R1078" s="196"/>
      <c r="S1078" s="48"/>
    </row>
    <row r="1079" spans="18:19">
      <c r="R1079" s="196"/>
      <c r="S1079" s="48"/>
    </row>
    <row r="1080" spans="18:19">
      <c r="R1080" s="196"/>
      <c r="S1080" s="48"/>
    </row>
    <row r="1081" spans="18:19">
      <c r="R1081" s="196"/>
      <c r="S1081" s="48"/>
    </row>
    <row r="1082" spans="18:19">
      <c r="R1082" s="196"/>
      <c r="S1082" s="48"/>
    </row>
    <row r="1083" spans="18:19">
      <c r="R1083" s="196"/>
      <c r="S1083" s="48"/>
    </row>
    <row r="1084" spans="18:19">
      <c r="R1084" s="196"/>
      <c r="S1084" s="48"/>
    </row>
    <row r="1085" spans="18:19">
      <c r="R1085" s="196"/>
      <c r="S1085" s="48"/>
    </row>
    <row r="1086" spans="18:19">
      <c r="R1086" s="196"/>
      <c r="S1086" s="48"/>
    </row>
    <row r="1087" spans="18:19">
      <c r="R1087" s="196"/>
      <c r="S1087" s="48"/>
    </row>
    <row r="1088" spans="18:19">
      <c r="R1088" s="196"/>
      <c r="S1088" s="48"/>
    </row>
    <row r="1089" spans="18:19">
      <c r="R1089" s="196"/>
      <c r="S1089" s="48"/>
    </row>
    <row r="1090" spans="18:19">
      <c r="R1090" s="196"/>
      <c r="S1090" s="48"/>
    </row>
    <row r="1091" spans="18:19">
      <c r="R1091" s="196"/>
      <c r="S1091" s="48"/>
    </row>
    <row r="1092" spans="18:19">
      <c r="R1092" s="196"/>
      <c r="S1092" s="48"/>
    </row>
    <row r="1093" spans="18:19">
      <c r="R1093" s="196"/>
      <c r="S1093" s="48"/>
    </row>
    <row r="1094" spans="18:19">
      <c r="R1094" s="196"/>
      <c r="S1094" s="48"/>
    </row>
    <row r="1095" spans="18:19">
      <c r="R1095" s="196"/>
      <c r="S1095" s="48"/>
    </row>
    <row r="1096" spans="18:19">
      <c r="R1096" s="196"/>
      <c r="S1096" s="48"/>
    </row>
    <row r="1097" spans="18:19">
      <c r="R1097" s="196"/>
      <c r="S1097" s="48"/>
    </row>
    <row r="1098" spans="18:19">
      <c r="R1098" s="196"/>
      <c r="S1098" s="48"/>
    </row>
    <row r="1099" spans="18:19">
      <c r="R1099" s="196"/>
      <c r="S1099" s="48"/>
    </row>
    <row r="1100" spans="18:19">
      <c r="R1100" s="196"/>
      <c r="S1100" s="48"/>
    </row>
    <row r="1101" spans="18:19">
      <c r="R1101" s="196"/>
      <c r="S1101" s="48"/>
    </row>
    <row r="1102" spans="18:19">
      <c r="R1102" s="196"/>
      <c r="S1102" s="48"/>
    </row>
    <row r="1103" spans="18:19">
      <c r="R1103" s="196"/>
      <c r="S1103" s="48"/>
    </row>
    <row r="1104" spans="18:19">
      <c r="R1104" s="196"/>
      <c r="S1104" s="48"/>
    </row>
    <row r="1105" spans="18:19">
      <c r="R1105" s="196"/>
      <c r="S1105" s="48"/>
    </row>
    <row r="1106" spans="18:19">
      <c r="R1106" s="196"/>
      <c r="S1106" s="48"/>
    </row>
    <row r="1107" spans="18:19">
      <c r="R1107" s="196"/>
      <c r="S1107" s="48"/>
    </row>
    <row r="1108" spans="18:19">
      <c r="R1108" s="196"/>
      <c r="S1108" s="48"/>
    </row>
    <row r="1109" spans="18:19">
      <c r="R1109" s="196"/>
      <c r="S1109" s="48"/>
    </row>
    <row r="1110" spans="18:19">
      <c r="R1110" s="196"/>
      <c r="S1110" s="48"/>
    </row>
    <row r="1111" spans="18:19">
      <c r="R1111" s="196"/>
      <c r="S1111" s="48"/>
    </row>
    <row r="1112" spans="18:19">
      <c r="R1112" s="196"/>
      <c r="S1112" s="48"/>
    </row>
    <row r="1113" spans="18:19">
      <c r="R1113" s="196"/>
      <c r="S1113" s="48"/>
    </row>
    <row r="1114" spans="18:19">
      <c r="R1114" s="196"/>
      <c r="S1114" s="48"/>
    </row>
    <row r="1115" spans="18:19">
      <c r="R1115" s="196"/>
      <c r="S1115" s="48"/>
    </row>
    <row r="1116" spans="18:19">
      <c r="R1116" s="196"/>
      <c r="S1116" s="48"/>
    </row>
    <row r="1117" spans="18:19">
      <c r="R1117" s="196"/>
      <c r="S1117" s="48"/>
    </row>
    <row r="1118" spans="18:19">
      <c r="R1118" s="196"/>
      <c r="S1118" s="48"/>
    </row>
    <row r="1119" spans="18:19">
      <c r="R1119" s="196"/>
      <c r="S1119" s="48"/>
    </row>
    <row r="1120" spans="18:19">
      <c r="R1120" s="196"/>
      <c r="S1120" s="48"/>
    </row>
    <row r="1121" spans="18:19">
      <c r="R1121" s="196"/>
      <c r="S1121" s="48"/>
    </row>
    <row r="1122" spans="18:19">
      <c r="R1122" s="196"/>
      <c r="S1122" s="48"/>
    </row>
    <row r="1123" spans="18:19">
      <c r="R1123" s="196"/>
      <c r="S1123" s="48"/>
    </row>
    <row r="1124" spans="18:19">
      <c r="R1124" s="196"/>
      <c r="S1124" s="48"/>
    </row>
    <row r="1125" spans="18:19">
      <c r="R1125" s="196"/>
      <c r="S1125" s="48"/>
    </row>
    <row r="1126" spans="18:19">
      <c r="R1126" s="196"/>
      <c r="S1126" s="48"/>
    </row>
    <row r="1127" spans="18:19">
      <c r="R1127" s="196"/>
      <c r="S1127" s="48"/>
    </row>
    <row r="1128" spans="18:19">
      <c r="R1128" s="196"/>
      <c r="S1128" s="48"/>
    </row>
    <row r="1129" spans="18:19">
      <c r="R1129" s="196"/>
      <c r="S1129" s="48"/>
    </row>
    <row r="1130" spans="18:19">
      <c r="R1130" s="196"/>
      <c r="S1130" s="48"/>
    </row>
    <row r="1131" spans="18:19">
      <c r="R1131" s="196"/>
      <c r="S1131" s="48"/>
    </row>
    <row r="1132" spans="18:19">
      <c r="R1132" s="196"/>
      <c r="S1132" s="48"/>
    </row>
    <row r="1133" spans="18:19">
      <c r="R1133" s="196"/>
      <c r="S1133" s="48"/>
    </row>
    <row r="1134" spans="18:19">
      <c r="R1134" s="196"/>
      <c r="S1134" s="48"/>
    </row>
    <row r="1135" spans="18:19">
      <c r="R1135" s="196"/>
      <c r="S1135" s="48"/>
    </row>
    <row r="1136" spans="18:19">
      <c r="R1136" s="196"/>
      <c r="S1136" s="48"/>
    </row>
    <row r="1137" spans="18:19">
      <c r="R1137" s="196"/>
      <c r="S1137" s="48"/>
    </row>
    <row r="1138" spans="18:19">
      <c r="R1138" s="196"/>
      <c r="S1138" s="48"/>
    </row>
    <row r="1139" spans="18:19">
      <c r="R1139" s="196"/>
      <c r="S1139" s="48"/>
    </row>
    <row r="1140" spans="18:19">
      <c r="R1140" s="196"/>
      <c r="S1140" s="48"/>
    </row>
    <row r="1141" spans="18:19">
      <c r="R1141" s="196"/>
      <c r="S1141" s="48"/>
    </row>
    <row r="1142" spans="18:19">
      <c r="R1142" s="196"/>
      <c r="S1142" s="48"/>
    </row>
    <row r="1143" spans="18:19">
      <c r="R1143" s="196"/>
      <c r="S1143" s="48"/>
    </row>
    <row r="1144" spans="18:19">
      <c r="R1144" s="196"/>
      <c r="S1144" s="48"/>
    </row>
    <row r="1145" spans="18:19">
      <c r="R1145" s="196"/>
      <c r="S1145" s="48"/>
    </row>
    <row r="1146" spans="18:19">
      <c r="R1146" s="196"/>
      <c r="S1146" s="48"/>
    </row>
    <row r="1147" spans="18:19">
      <c r="R1147" s="196"/>
      <c r="S1147" s="48"/>
    </row>
    <row r="1148" spans="18:19">
      <c r="R1148" s="196"/>
      <c r="S1148" s="48"/>
    </row>
    <row r="1149" spans="18:19">
      <c r="R1149" s="196"/>
      <c r="S1149" s="48"/>
    </row>
  </sheetData>
  <autoFilter ref="C1:S1149" xr:uid="{3965CB58-0C5A-4D88-80ED-CAD9BA89B51D}"/>
  <mergeCells count="8">
    <mergeCell ref="AA2:AD2"/>
    <mergeCell ref="T2:W2"/>
    <mergeCell ref="T3:V3"/>
    <mergeCell ref="F805:F823"/>
    <mergeCell ref="P2:R2"/>
    <mergeCell ref="Q192:Q197"/>
    <mergeCell ref="R192:R197"/>
    <mergeCell ref="Q198:Q199"/>
  </mergeCells>
  <phoneticPr fontId="14" type="noConversion"/>
  <conditionalFormatting sqref="I1:I1048576">
    <cfRule type="cellIs" dxfId="80" priority="1" operator="equal">
      <formula>"Circulação"</formula>
    </cfRule>
    <cfRule type="cellIs" dxfId="79" priority="2" operator="equal">
      <formula>"DML"</formula>
    </cfRule>
    <cfRule type="cellIs" dxfId="78" priority="3" operator="equal">
      <formula>"Serviço"</formula>
    </cfRule>
    <cfRule type="cellIs" dxfId="77" priority="4" operator="equal">
      <formula>"Banheiro"</formula>
    </cfRule>
  </conditionalFormatting>
  <conditionalFormatting sqref="J448">
    <cfRule type="containsText" dxfId="76" priority="381" operator="containsText" text="DML">
      <formula>NOT(ISERROR(SEARCH("DML",J448)))</formula>
    </cfRule>
    <cfRule type="containsText" dxfId="75" priority="382" operator="containsText" text="Circulação">
      <formula>NOT(ISERROR(SEARCH("Circulação",J448)))</formula>
    </cfRule>
    <cfRule type="containsText" dxfId="74" priority="383" operator="containsText" text="Banheiro">
      <formula>NOT(ISERROR(SEARCH("Banheiro",J448)))</formula>
    </cfRule>
    <cfRule type="containsText" dxfId="73" priority="384" operator="containsText" text="Serviço">
      <formula>NOT(ISERROR(SEARCH("Serviço",J448)))</formula>
    </cfRule>
  </conditionalFormatting>
  <conditionalFormatting sqref="Q183">
    <cfRule type="containsText" dxfId="72" priority="1633" operator="containsText" text="PENDENTE">
      <formula>NOT(ISERROR(SEARCH("PENDENTE",Q183)))</formula>
    </cfRule>
  </conditionalFormatting>
  <conditionalFormatting sqref="Q208:Q210">
    <cfRule type="containsText" dxfId="71" priority="1606" operator="containsText" text="PENDENTE">
      <formula>NOT(ISERROR(SEARCH("PENDENTE",Q208)))</formula>
    </cfRule>
  </conditionalFormatting>
  <conditionalFormatting sqref="Q221">
    <cfRule type="containsText" dxfId="70" priority="1609" operator="containsText" text="PENDENTE">
      <formula>NOT(ISERROR(SEARCH("PENDENTE",Q221)))</formula>
    </cfRule>
  </conditionalFormatting>
  <conditionalFormatting sqref="Q223:Q230">
    <cfRule type="containsText" dxfId="69" priority="1610" operator="containsText" text="PENDENTE">
      <formula>NOT(ISERROR(SEARCH("PENDENTE",Q223)))</formula>
    </cfRule>
  </conditionalFormatting>
  <conditionalFormatting sqref="Q244">
    <cfRule type="containsText" dxfId="68" priority="1618" operator="containsText" text="PENDENTE">
      <formula>NOT(ISERROR(SEARCH("PENDENTE",Q244)))</formula>
    </cfRule>
  </conditionalFormatting>
  <conditionalFormatting sqref="R279:R280 R290:R291 R300:R301 R310 R455:R459 R471:R475 R483:R487 R506:R510 R525:R529">
    <cfRule type="containsText" dxfId="67" priority="1604" operator="containsText" text="PENDENTE">
      <formula>NOT(ISERROR(SEARCH("PENDENTE",R279)))</formula>
    </cfRule>
  </conditionalFormatting>
  <conditionalFormatting sqref="R348:R354 R382:R390">
    <cfRule type="containsText" dxfId="66" priority="1652" operator="containsText" text="PENDENTE">
      <formula>NOT(ISERROR(SEARCH("PENDENTE",R348)))</formula>
    </cfRule>
  </conditionalFormatting>
  <conditionalFormatting sqref="R359:R365">
    <cfRule type="containsText" dxfId="65" priority="1637" operator="containsText" text="PENDENTE">
      <formula>NOT(ISERROR(SEARCH("PENDENTE",R359)))</formula>
    </cfRule>
  </conditionalFormatting>
  <conditionalFormatting sqref="R370:R377">
    <cfRule type="containsText" dxfId="64" priority="1636" operator="containsText" text="PENDENTE">
      <formula>NOT(ISERROR(SEARCH("PENDENTE",R370)))</formula>
    </cfRule>
  </conditionalFormatting>
  <conditionalFormatting sqref="R396:R403">
    <cfRule type="containsText" dxfId="63" priority="1639" operator="containsText" text="PENDENTE">
      <formula>NOT(ISERROR(SEARCH("PENDENTE",R396)))</formula>
    </cfRule>
  </conditionalFormatting>
  <conditionalFormatting sqref="R408:R417">
    <cfRule type="containsText" dxfId="62" priority="1640" operator="containsText" text="PENDENTE">
      <formula>NOT(ISERROR(SEARCH("PENDENTE",R408)))</formula>
    </cfRule>
  </conditionalFormatting>
  <conditionalFormatting sqref="R422">
    <cfRule type="containsText" dxfId="61" priority="1605" operator="containsText" text="PENDENTE">
      <formula>NOT(ISERROR(SEARCH("PENDENTE",R422)))</formula>
    </cfRule>
  </conditionalFormatting>
  <conditionalFormatting sqref="R544:R548">
    <cfRule type="containsText" dxfId="60" priority="1602" operator="containsText" text="PENDENTE">
      <formula>NOT(ISERROR(SEARCH("PENDENTE",R544)))</formula>
    </cfRule>
  </conditionalFormatting>
  <conditionalFormatting sqref="W770:Y778 E770:E778">
    <cfRule type="colorScale" priority="1285">
      <colorScale>
        <cfvo type="min"/>
        <cfvo type="num" val="500"/>
        <cfvo type="max"/>
        <color rgb="FFF8696B"/>
        <color rgb="FF92D050"/>
        <color rgb="FF00B050"/>
      </colorScale>
    </cfRule>
  </conditionalFormatting>
  <conditionalFormatting sqref="W779:Y803 E779:E823 W2:Y769 E2:E769">
    <cfRule type="colorScale" priority="1670">
      <colorScale>
        <cfvo type="min"/>
        <cfvo type="num" val="500"/>
        <cfvo type="max"/>
        <color rgb="FFF8696B"/>
        <color rgb="FF92D050"/>
        <color rgb="FF00B050"/>
      </colorScale>
    </cfRule>
  </conditionalFormatting>
  <pageMargins left="0.98425196850393704" right="0.51181102362204722" top="0.59055118110236227" bottom="0.59055118110236227" header="0.31496062992125984" footer="0.31496062992125984"/>
  <pageSetup paperSize="9" scale="55" fitToHeight="0" orientation="landscape" r:id="rId1"/>
  <headerFooter>
    <oddHeader>&amp;C&amp;F&amp;R&amp;A</oddHeader>
    <oddFooter>&amp;LÚLTIMA ATUALIZAÇÃO: 30/05/2025&amp;CUFCA/DINFRA - Pág &amp;P/&amp;N&amp;RSUPERVISÃO DO LEVANTAMENTO: Arq. LOUISE BARBOSA</oddFooter>
  </headerFooter>
  <rowBreaks count="2" manualBreakCount="2">
    <brk id="823" min="5" max="17" man="1"/>
    <brk id="872" min="5"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84932-5F02-4247-9921-512143B2AA71}">
  <sheetPr>
    <tabColor theme="5" tint="0.59999389629810485"/>
    <pageSetUpPr fitToPage="1"/>
  </sheetPr>
  <dimension ref="A1:S129"/>
  <sheetViews>
    <sheetView view="pageBreakPreview" zoomScale="77" zoomScaleNormal="70" zoomScaleSheetLayoutView="77" workbookViewId="0">
      <selection activeCell="Q50" sqref="Q50"/>
    </sheetView>
  </sheetViews>
  <sheetFormatPr defaultRowHeight="15"/>
  <cols>
    <col min="3" max="3" width="21.42578125" style="12" customWidth="1"/>
    <col min="4" max="4" width="12.28515625" style="12" bestFit="1" customWidth="1"/>
    <col min="5" max="5" width="10.5703125" style="12" bestFit="1" customWidth="1"/>
    <col min="6" max="6" width="15.28515625" style="48" bestFit="1" customWidth="1"/>
    <col min="7" max="7" width="19.42578125" style="48" bestFit="1" customWidth="1"/>
    <col min="8" max="8" width="11" style="48" bestFit="1" customWidth="1"/>
    <col min="9" max="9" width="14.28515625" style="48" bestFit="1" customWidth="1"/>
    <col min="10" max="10" width="24.7109375" style="48" hidden="1" customWidth="1"/>
    <col min="11" max="11" width="11.28515625" style="48" bestFit="1" customWidth="1"/>
    <col min="12" max="12" width="25.42578125" style="48" customWidth="1"/>
    <col min="13" max="13" width="18" style="48" customWidth="1"/>
    <col min="14" max="14" width="18.140625" style="48" customWidth="1"/>
    <col min="15" max="15" width="20.7109375" customWidth="1"/>
    <col min="18" max="18" width="17.7109375" style="3" customWidth="1"/>
    <col min="19" max="19" width="16.5703125" style="3" customWidth="1"/>
  </cols>
  <sheetData>
    <row r="1" spans="1:19">
      <c r="A1" s="117"/>
      <c r="B1" s="118"/>
      <c r="C1" s="152" t="s">
        <v>819</v>
      </c>
      <c r="D1" s="56"/>
      <c r="E1" s="56"/>
      <c r="F1" s="56"/>
      <c r="G1"/>
      <c r="H1"/>
      <c r="I1"/>
      <c r="J1"/>
      <c r="K1"/>
      <c r="L1"/>
      <c r="M1"/>
      <c r="N1"/>
    </row>
    <row r="2" spans="1:19">
      <c r="A2" s="120"/>
      <c r="C2" s="11"/>
      <c r="D2" s="18"/>
      <c r="E2" s="18"/>
      <c r="F2" s="18"/>
      <c r="G2" s="3"/>
      <c r="H2" s="3"/>
      <c r="I2" s="3"/>
      <c r="J2" s="3"/>
      <c r="K2" s="80"/>
      <c r="L2" s="637" t="s">
        <v>266</v>
      </c>
      <c r="M2" s="637"/>
      <c r="N2" s="637"/>
      <c r="O2" s="47"/>
      <c r="P2" s="10"/>
      <c r="R2" s="650" t="s">
        <v>614</v>
      </c>
      <c r="S2" s="651"/>
    </row>
    <row r="3" spans="1:19" ht="30">
      <c r="A3" s="120"/>
      <c r="C3" s="91" t="s">
        <v>70</v>
      </c>
      <c r="D3" s="29" t="s">
        <v>36</v>
      </c>
      <c r="E3" s="29" t="s">
        <v>1888</v>
      </c>
      <c r="F3" s="29" t="s">
        <v>69</v>
      </c>
      <c r="G3" s="45" t="s">
        <v>74</v>
      </c>
      <c r="H3" s="29" t="s">
        <v>71</v>
      </c>
      <c r="I3" s="29" t="s">
        <v>75</v>
      </c>
      <c r="J3" s="29" t="s">
        <v>257</v>
      </c>
      <c r="K3" s="29" t="s">
        <v>1902</v>
      </c>
      <c r="L3" s="29" t="s">
        <v>272</v>
      </c>
      <c r="M3" s="29" t="s">
        <v>271</v>
      </c>
      <c r="N3" s="29" t="s">
        <v>273</v>
      </c>
      <c r="O3" s="45" t="s">
        <v>274</v>
      </c>
      <c r="P3" s="9" t="s">
        <v>283</v>
      </c>
      <c r="R3" s="30" t="s">
        <v>284</v>
      </c>
      <c r="S3" s="30" t="s">
        <v>1</v>
      </c>
    </row>
    <row r="4" spans="1:19">
      <c r="A4" s="120"/>
      <c r="C4" s="271" t="s">
        <v>79</v>
      </c>
      <c r="D4" s="29" t="s">
        <v>219</v>
      </c>
      <c r="E4" s="29" t="s">
        <v>1887</v>
      </c>
      <c r="F4" s="13" t="s">
        <v>249</v>
      </c>
      <c r="G4" s="109" t="s">
        <v>222</v>
      </c>
      <c r="H4" s="13">
        <v>1</v>
      </c>
      <c r="I4" s="13">
        <v>20.51</v>
      </c>
      <c r="J4" s="18">
        <f>I4</f>
        <v>20.51</v>
      </c>
      <c r="K4" s="18">
        <v>3</v>
      </c>
      <c r="L4" s="18" t="s">
        <v>286</v>
      </c>
      <c r="M4" s="18" t="s">
        <v>268</v>
      </c>
      <c r="N4" s="18" t="s">
        <v>287</v>
      </c>
    </row>
    <row r="5" spans="1:19">
      <c r="A5" s="120"/>
      <c r="C5" s="271" t="s">
        <v>79</v>
      </c>
      <c r="D5" s="29" t="s">
        <v>219</v>
      </c>
      <c r="E5" s="29" t="s">
        <v>1887</v>
      </c>
      <c r="F5" s="13" t="s">
        <v>249</v>
      </c>
      <c r="G5" s="109" t="s">
        <v>288</v>
      </c>
      <c r="H5" s="13">
        <v>2</v>
      </c>
      <c r="I5" s="13">
        <v>20.98</v>
      </c>
      <c r="J5" s="18">
        <f t="shared" ref="J5:J64" si="0">I5</f>
        <v>20.98</v>
      </c>
      <c r="K5" s="18">
        <v>4</v>
      </c>
      <c r="L5" s="18" t="s">
        <v>286</v>
      </c>
      <c r="M5" s="18" t="s">
        <v>268</v>
      </c>
      <c r="N5" s="18" t="s">
        <v>287</v>
      </c>
    </row>
    <row r="6" spans="1:19">
      <c r="A6" s="120"/>
      <c r="C6" s="271" t="s">
        <v>79</v>
      </c>
      <c r="D6" s="29" t="s">
        <v>219</v>
      </c>
      <c r="E6" s="29" t="s">
        <v>1887</v>
      </c>
      <c r="F6" s="13" t="s">
        <v>249</v>
      </c>
      <c r="G6" s="109" t="s">
        <v>289</v>
      </c>
      <c r="H6" s="13">
        <v>3</v>
      </c>
      <c r="I6" s="13">
        <v>12.3</v>
      </c>
      <c r="J6" s="18">
        <f t="shared" si="0"/>
        <v>12.3</v>
      </c>
      <c r="K6" s="18">
        <v>3</v>
      </c>
      <c r="L6" s="18" t="s">
        <v>286</v>
      </c>
      <c r="M6" s="18" t="s">
        <v>268</v>
      </c>
      <c r="N6" s="18" t="s">
        <v>287</v>
      </c>
    </row>
    <row r="7" spans="1:19">
      <c r="A7" s="120"/>
      <c r="C7" s="271" t="s">
        <v>79</v>
      </c>
      <c r="D7" s="29" t="s">
        <v>219</v>
      </c>
      <c r="E7" s="29" t="s">
        <v>1887</v>
      </c>
      <c r="F7" s="13" t="s">
        <v>248</v>
      </c>
      <c r="G7" s="109" t="s">
        <v>290</v>
      </c>
      <c r="H7" s="13">
        <v>4</v>
      </c>
      <c r="I7" s="13">
        <v>85.45</v>
      </c>
      <c r="J7" s="18">
        <f t="shared" si="0"/>
        <v>85.45</v>
      </c>
      <c r="K7" s="18">
        <v>60</v>
      </c>
      <c r="L7" s="18" t="s">
        <v>286</v>
      </c>
      <c r="M7" s="18" t="s">
        <v>268</v>
      </c>
      <c r="N7" s="18" t="s">
        <v>287</v>
      </c>
    </row>
    <row r="8" spans="1:19">
      <c r="A8" s="120"/>
      <c r="C8" s="271" t="s">
        <v>79</v>
      </c>
      <c r="D8" s="29" t="s">
        <v>219</v>
      </c>
      <c r="E8" s="29" t="s">
        <v>1887</v>
      </c>
      <c r="F8" s="13" t="s">
        <v>596</v>
      </c>
      <c r="G8" s="109" t="s">
        <v>291</v>
      </c>
      <c r="H8" s="13">
        <v>5</v>
      </c>
      <c r="I8" s="13">
        <v>21.2</v>
      </c>
      <c r="J8" s="18">
        <f t="shared" si="0"/>
        <v>21.2</v>
      </c>
      <c r="K8" s="18">
        <v>7</v>
      </c>
      <c r="L8" s="18" t="s">
        <v>286</v>
      </c>
      <c r="M8" s="18" t="s">
        <v>268</v>
      </c>
      <c r="N8" s="18" t="s">
        <v>287</v>
      </c>
    </row>
    <row r="9" spans="1:19">
      <c r="A9" s="120"/>
      <c r="C9" s="271" t="s">
        <v>79</v>
      </c>
      <c r="D9" s="29" t="s">
        <v>219</v>
      </c>
      <c r="E9" s="29" t="s">
        <v>1887</v>
      </c>
      <c r="F9" s="13" t="s">
        <v>249</v>
      </c>
      <c r="G9" s="109" t="s">
        <v>292</v>
      </c>
      <c r="H9" s="13">
        <v>6</v>
      </c>
      <c r="I9" s="13">
        <v>10.92</v>
      </c>
      <c r="J9" s="18">
        <f t="shared" si="0"/>
        <v>10.92</v>
      </c>
      <c r="K9" s="18">
        <v>2</v>
      </c>
      <c r="L9" s="18" t="s">
        <v>286</v>
      </c>
      <c r="M9" s="18" t="s">
        <v>268</v>
      </c>
      <c r="N9" s="18" t="s">
        <v>287</v>
      </c>
    </row>
    <row r="10" spans="1:19">
      <c r="A10" s="120"/>
      <c r="C10" s="271" t="s">
        <v>79</v>
      </c>
      <c r="D10" s="29" t="s">
        <v>219</v>
      </c>
      <c r="E10" s="29" t="s">
        <v>1887</v>
      </c>
      <c r="F10" s="13" t="s">
        <v>208</v>
      </c>
      <c r="G10" s="109" t="s">
        <v>208</v>
      </c>
      <c r="H10" s="13">
        <v>7</v>
      </c>
      <c r="I10" s="13">
        <v>11.6</v>
      </c>
      <c r="J10" s="18">
        <f t="shared" si="0"/>
        <v>11.6</v>
      </c>
      <c r="K10" s="18">
        <v>3</v>
      </c>
      <c r="L10" s="18" t="s">
        <v>286</v>
      </c>
      <c r="M10" s="18" t="s">
        <v>268</v>
      </c>
      <c r="N10" s="18" t="s">
        <v>287</v>
      </c>
    </row>
    <row r="11" spans="1:19">
      <c r="A11" s="120"/>
      <c r="C11" s="271" t="s">
        <v>79</v>
      </c>
      <c r="D11" s="29" t="s">
        <v>219</v>
      </c>
      <c r="E11" s="29"/>
      <c r="F11" s="13" t="s">
        <v>355</v>
      </c>
      <c r="G11" s="109" t="s">
        <v>293</v>
      </c>
      <c r="H11" s="13">
        <v>8</v>
      </c>
      <c r="I11" s="13">
        <v>15</v>
      </c>
      <c r="J11" s="18">
        <f t="shared" si="0"/>
        <v>15</v>
      </c>
      <c r="K11" s="18">
        <v>0</v>
      </c>
      <c r="L11" s="18" t="s">
        <v>294</v>
      </c>
      <c r="M11" s="18" t="s">
        <v>268</v>
      </c>
      <c r="N11" s="18" t="s">
        <v>287</v>
      </c>
    </row>
    <row r="12" spans="1:19">
      <c r="A12" s="120" t="s">
        <v>916</v>
      </c>
      <c r="C12" s="271" t="s">
        <v>79</v>
      </c>
      <c r="D12" s="29" t="s">
        <v>219</v>
      </c>
      <c r="E12" s="29" t="s">
        <v>1887</v>
      </c>
      <c r="F12" s="18" t="s">
        <v>593</v>
      </c>
      <c r="G12" s="109" t="s">
        <v>295</v>
      </c>
      <c r="H12" s="13">
        <v>9</v>
      </c>
      <c r="I12" s="13">
        <v>48.11</v>
      </c>
      <c r="J12" s="18">
        <f t="shared" si="0"/>
        <v>48.11</v>
      </c>
      <c r="K12" s="18">
        <v>8</v>
      </c>
      <c r="L12" s="18" t="s">
        <v>294</v>
      </c>
      <c r="M12" s="18" t="s">
        <v>268</v>
      </c>
      <c r="N12" s="18" t="s">
        <v>296</v>
      </c>
    </row>
    <row r="13" spans="1:19">
      <c r="A13" s="120"/>
      <c r="C13" s="271" t="s">
        <v>79</v>
      </c>
      <c r="D13" s="29" t="s">
        <v>219</v>
      </c>
      <c r="E13" s="29" t="s">
        <v>1887</v>
      </c>
      <c r="F13" s="13" t="s">
        <v>248</v>
      </c>
      <c r="G13" s="109" t="s">
        <v>297</v>
      </c>
      <c r="H13" s="13">
        <v>10</v>
      </c>
      <c r="I13" s="13">
        <v>50.23</v>
      </c>
      <c r="J13" s="18">
        <f t="shared" si="0"/>
        <v>50.23</v>
      </c>
      <c r="K13" s="18">
        <v>35</v>
      </c>
      <c r="L13" s="18" t="s">
        <v>286</v>
      </c>
      <c r="M13" s="18" t="s">
        <v>268</v>
      </c>
      <c r="N13" s="18" t="s">
        <v>296</v>
      </c>
    </row>
    <row r="14" spans="1:19">
      <c r="A14" s="120"/>
      <c r="C14" s="271" t="s">
        <v>79</v>
      </c>
      <c r="D14" s="29" t="s">
        <v>219</v>
      </c>
      <c r="E14" s="29" t="s">
        <v>1887</v>
      </c>
      <c r="F14" s="13" t="s">
        <v>248</v>
      </c>
      <c r="G14" s="109" t="s">
        <v>298</v>
      </c>
      <c r="H14" s="13">
        <v>11</v>
      </c>
      <c r="I14" s="13">
        <v>45.08</v>
      </c>
      <c r="J14" s="18">
        <f t="shared" si="0"/>
        <v>45.08</v>
      </c>
      <c r="K14" s="18">
        <v>35</v>
      </c>
      <c r="L14" s="18" t="s">
        <v>286</v>
      </c>
      <c r="M14" s="18" t="s">
        <v>268</v>
      </c>
      <c r="N14" s="18" t="s">
        <v>296</v>
      </c>
    </row>
    <row r="15" spans="1:19">
      <c r="A15" s="120"/>
      <c r="C15" s="271" t="s">
        <v>79</v>
      </c>
      <c r="D15" s="29" t="s">
        <v>219</v>
      </c>
      <c r="E15" s="29" t="s">
        <v>1887</v>
      </c>
      <c r="F15" s="13" t="s">
        <v>248</v>
      </c>
      <c r="G15" s="109" t="s">
        <v>299</v>
      </c>
      <c r="H15" s="13">
        <v>12</v>
      </c>
      <c r="I15" s="13">
        <v>21.89</v>
      </c>
      <c r="J15" s="18">
        <f t="shared" si="0"/>
        <v>21.89</v>
      </c>
      <c r="K15" s="18">
        <v>2</v>
      </c>
      <c r="L15" s="18" t="s">
        <v>286</v>
      </c>
      <c r="M15" s="18" t="s">
        <v>268</v>
      </c>
      <c r="N15" s="18" t="s">
        <v>296</v>
      </c>
    </row>
    <row r="16" spans="1:19">
      <c r="A16" s="120"/>
      <c r="C16" s="271" t="s">
        <v>79</v>
      </c>
      <c r="D16" s="29" t="s">
        <v>219</v>
      </c>
      <c r="E16" s="29" t="s">
        <v>1887</v>
      </c>
      <c r="F16" s="13" t="s">
        <v>596</v>
      </c>
      <c r="G16" s="109" t="s">
        <v>300</v>
      </c>
      <c r="H16" s="13">
        <v>13</v>
      </c>
      <c r="I16" s="13">
        <v>47.4</v>
      </c>
      <c r="J16" s="18">
        <f t="shared" si="0"/>
        <v>47.4</v>
      </c>
      <c r="K16" s="18">
        <v>30</v>
      </c>
      <c r="L16" s="18" t="s">
        <v>286</v>
      </c>
      <c r="M16" s="18" t="s">
        <v>268</v>
      </c>
      <c r="N16" s="18" t="s">
        <v>296</v>
      </c>
    </row>
    <row r="17" spans="1:14">
      <c r="A17" s="120"/>
      <c r="C17" s="271" t="s">
        <v>79</v>
      </c>
      <c r="D17" s="29" t="s">
        <v>219</v>
      </c>
      <c r="E17" s="29" t="s">
        <v>1887</v>
      </c>
      <c r="F17" s="13" t="s">
        <v>596</v>
      </c>
      <c r="G17" s="109" t="s">
        <v>301</v>
      </c>
      <c r="H17" s="13">
        <v>14</v>
      </c>
      <c r="I17" s="13">
        <v>47.4</v>
      </c>
      <c r="J17" s="18">
        <f t="shared" si="0"/>
        <v>47.4</v>
      </c>
      <c r="K17" s="18">
        <v>30</v>
      </c>
      <c r="L17" s="18" t="s">
        <v>286</v>
      </c>
      <c r="M17" s="18" t="s">
        <v>268</v>
      </c>
      <c r="N17" s="18" t="s">
        <v>296</v>
      </c>
    </row>
    <row r="18" spans="1:14">
      <c r="A18" s="120"/>
      <c r="C18" s="271" t="s">
        <v>79</v>
      </c>
      <c r="D18" s="29" t="s">
        <v>219</v>
      </c>
      <c r="E18" s="29"/>
      <c r="F18" s="13" t="s">
        <v>355</v>
      </c>
      <c r="G18" s="109" t="s">
        <v>302</v>
      </c>
      <c r="H18" s="13">
        <v>15</v>
      </c>
      <c r="I18" s="13">
        <v>23.76</v>
      </c>
      <c r="J18" s="18">
        <f t="shared" si="0"/>
        <v>23.76</v>
      </c>
      <c r="K18" s="18">
        <v>5</v>
      </c>
      <c r="L18" s="18" t="s">
        <v>1900</v>
      </c>
      <c r="M18" s="18" t="s">
        <v>270</v>
      </c>
      <c r="N18" s="18" t="s">
        <v>1900</v>
      </c>
    </row>
    <row r="19" spans="1:14">
      <c r="A19" s="120"/>
      <c r="C19" s="271" t="s">
        <v>79</v>
      </c>
      <c r="D19" s="29" t="s">
        <v>219</v>
      </c>
      <c r="E19" s="29"/>
      <c r="F19" s="13" t="s">
        <v>355</v>
      </c>
      <c r="G19" s="109" t="s">
        <v>303</v>
      </c>
      <c r="H19" s="13">
        <v>16</v>
      </c>
      <c r="I19" s="13">
        <v>20.64</v>
      </c>
      <c r="J19" s="18">
        <f t="shared" si="0"/>
        <v>20.64</v>
      </c>
      <c r="K19" s="18">
        <v>5</v>
      </c>
      <c r="L19" s="18" t="s">
        <v>1900</v>
      </c>
      <c r="M19" s="18" t="s">
        <v>270</v>
      </c>
      <c r="N19" s="18" t="s">
        <v>1900</v>
      </c>
    </row>
    <row r="20" spans="1:14">
      <c r="A20" s="120"/>
      <c r="C20" s="271" t="s">
        <v>79</v>
      </c>
      <c r="D20" s="29" t="s">
        <v>219</v>
      </c>
      <c r="E20" s="29"/>
      <c r="F20" s="13" t="s">
        <v>355</v>
      </c>
      <c r="G20" s="109" t="s">
        <v>304</v>
      </c>
      <c r="H20" s="13">
        <v>17</v>
      </c>
      <c r="I20" s="13">
        <v>12</v>
      </c>
      <c r="J20" s="18">
        <f t="shared" si="0"/>
        <v>12</v>
      </c>
      <c r="K20" s="18">
        <v>5</v>
      </c>
      <c r="L20" s="18" t="s">
        <v>286</v>
      </c>
      <c r="M20" s="18" t="s">
        <v>268</v>
      </c>
      <c r="N20" s="18" t="s">
        <v>287</v>
      </c>
    </row>
    <row r="21" spans="1:14">
      <c r="A21" s="120"/>
      <c r="C21" s="271" t="s">
        <v>79</v>
      </c>
      <c r="D21" s="29" t="s">
        <v>219</v>
      </c>
      <c r="E21" s="29" t="s">
        <v>1887</v>
      </c>
      <c r="F21" s="13" t="s">
        <v>249</v>
      </c>
      <c r="G21" s="109" t="s">
        <v>305</v>
      </c>
      <c r="H21" s="13">
        <v>18</v>
      </c>
      <c r="I21" s="13">
        <v>19.66</v>
      </c>
      <c r="J21" s="18">
        <f t="shared" si="0"/>
        <v>19.66</v>
      </c>
      <c r="K21" s="18">
        <v>6</v>
      </c>
      <c r="L21" s="18" t="s">
        <v>286</v>
      </c>
      <c r="M21" s="18" t="s">
        <v>268</v>
      </c>
      <c r="N21" s="18" t="s">
        <v>287</v>
      </c>
    </row>
    <row r="22" spans="1:14">
      <c r="A22" s="120"/>
      <c r="C22" s="271" t="s">
        <v>79</v>
      </c>
      <c r="D22" s="29" t="s">
        <v>219</v>
      </c>
      <c r="E22" s="29" t="s">
        <v>1887</v>
      </c>
      <c r="F22" s="13" t="s">
        <v>248</v>
      </c>
      <c r="G22" s="109" t="s">
        <v>306</v>
      </c>
      <c r="H22" s="13">
        <v>19</v>
      </c>
      <c r="I22" s="13">
        <v>48.88</v>
      </c>
      <c r="J22" s="18">
        <f t="shared" si="0"/>
        <v>48.88</v>
      </c>
      <c r="K22" s="18">
        <v>35</v>
      </c>
      <c r="L22" s="18" t="s">
        <v>286</v>
      </c>
      <c r="M22" s="18" t="s">
        <v>268</v>
      </c>
      <c r="N22" s="18" t="s">
        <v>296</v>
      </c>
    </row>
    <row r="23" spans="1:14">
      <c r="A23" s="120"/>
      <c r="C23" s="271" t="s">
        <v>79</v>
      </c>
      <c r="D23" s="29" t="s">
        <v>219</v>
      </c>
      <c r="E23" s="29" t="s">
        <v>1887</v>
      </c>
      <c r="F23" s="13" t="s">
        <v>248</v>
      </c>
      <c r="G23" s="109" t="s">
        <v>307</v>
      </c>
      <c r="H23" s="13">
        <v>20</v>
      </c>
      <c r="I23" s="13">
        <v>48.9</v>
      </c>
      <c r="J23" s="18">
        <f t="shared" si="0"/>
        <v>48.9</v>
      </c>
      <c r="K23" s="18">
        <v>35</v>
      </c>
      <c r="L23" s="18" t="s">
        <v>286</v>
      </c>
      <c r="M23" s="18" t="s">
        <v>268</v>
      </c>
      <c r="N23" s="18" t="s">
        <v>296</v>
      </c>
    </row>
    <row r="24" spans="1:14">
      <c r="A24" s="120"/>
      <c r="C24" s="271" t="s">
        <v>79</v>
      </c>
      <c r="D24" s="29" t="s">
        <v>219</v>
      </c>
      <c r="E24" s="29" t="s">
        <v>1887</v>
      </c>
      <c r="F24" s="13" t="s">
        <v>248</v>
      </c>
      <c r="G24" s="109" t="s">
        <v>308</v>
      </c>
      <c r="H24" s="13">
        <v>21</v>
      </c>
      <c r="I24" s="13">
        <v>50.4</v>
      </c>
      <c r="J24" s="18">
        <f t="shared" si="0"/>
        <v>50.4</v>
      </c>
      <c r="K24" s="18">
        <v>35</v>
      </c>
      <c r="L24" s="18" t="s">
        <v>286</v>
      </c>
      <c r="M24" s="18" t="s">
        <v>268</v>
      </c>
      <c r="N24" s="18" t="s">
        <v>296</v>
      </c>
    </row>
    <row r="25" spans="1:14">
      <c r="A25" s="120"/>
      <c r="C25" s="271" t="s">
        <v>79</v>
      </c>
      <c r="D25" s="29" t="s">
        <v>219</v>
      </c>
      <c r="E25" s="29" t="s">
        <v>1887</v>
      </c>
      <c r="F25" s="13" t="s">
        <v>596</v>
      </c>
      <c r="G25" s="109" t="s">
        <v>309</v>
      </c>
      <c r="H25" s="13">
        <v>22</v>
      </c>
      <c r="I25" s="13">
        <v>48.9</v>
      </c>
      <c r="J25" s="18">
        <f t="shared" si="0"/>
        <v>48.9</v>
      </c>
      <c r="K25" s="18">
        <f>5*6</f>
        <v>30</v>
      </c>
      <c r="L25" s="18" t="s">
        <v>286</v>
      </c>
      <c r="M25" s="18" t="s">
        <v>268</v>
      </c>
      <c r="N25" s="18" t="s">
        <v>296</v>
      </c>
    </row>
    <row r="26" spans="1:14">
      <c r="A26" s="120"/>
      <c r="C26" s="271" t="s">
        <v>79</v>
      </c>
      <c r="D26" s="29" t="s">
        <v>219</v>
      </c>
      <c r="E26" s="29"/>
      <c r="F26" s="13" t="s">
        <v>109</v>
      </c>
      <c r="G26" s="109" t="s">
        <v>310</v>
      </c>
      <c r="H26" s="13">
        <v>23</v>
      </c>
      <c r="I26" s="13">
        <v>7.39</v>
      </c>
      <c r="J26" s="18">
        <f t="shared" si="0"/>
        <v>7.39</v>
      </c>
      <c r="K26" s="18">
        <v>5</v>
      </c>
      <c r="L26" s="18" t="s">
        <v>286</v>
      </c>
      <c r="M26" s="18" t="s">
        <v>268</v>
      </c>
      <c r="N26" s="18" t="s">
        <v>296</v>
      </c>
    </row>
    <row r="27" spans="1:14">
      <c r="A27" s="120"/>
      <c r="C27" s="271" t="s">
        <v>79</v>
      </c>
      <c r="D27" s="29" t="s">
        <v>219</v>
      </c>
      <c r="E27" s="29"/>
      <c r="F27" s="13" t="s">
        <v>109</v>
      </c>
      <c r="G27" s="109" t="s">
        <v>311</v>
      </c>
      <c r="H27" s="13">
        <v>24</v>
      </c>
      <c r="I27" s="13">
        <v>7.39</v>
      </c>
      <c r="J27" s="18">
        <f t="shared" si="0"/>
        <v>7.39</v>
      </c>
      <c r="K27" s="18">
        <v>5</v>
      </c>
      <c r="L27" s="18" t="s">
        <v>286</v>
      </c>
      <c r="M27" s="18" t="s">
        <v>268</v>
      </c>
      <c r="N27" s="18" t="s">
        <v>296</v>
      </c>
    </row>
    <row r="28" spans="1:14">
      <c r="A28" s="120"/>
      <c r="C28" s="271" t="s">
        <v>79</v>
      </c>
      <c r="D28" s="29" t="s">
        <v>219</v>
      </c>
      <c r="E28" s="29"/>
      <c r="F28" s="13" t="s">
        <v>109</v>
      </c>
      <c r="G28" s="109" t="s">
        <v>109</v>
      </c>
      <c r="H28" s="13">
        <v>25</v>
      </c>
      <c r="I28" s="13">
        <v>82.8</v>
      </c>
      <c r="J28" s="18">
        <f t="shared" si="0"/>
        <v>82.8</v>
      </c>
      <c r="K28" s="18">
        <v>20</v>
      </c>
      <c r="L28" s="18" t="s">
        <v>286</v>
      </c>
      <c r="M28" s="18" t="s">
        <v>268</v>
      </c>
      <c r="N28" s="18" t="s">
        <v>296</v>
      </c>
    </row>
    <row r="29" spans="1:14" ht="15.75" thickBot="1">
      <c r="A29" s="135"/>
      <c r="B29" s="136"/>
      <c r="C29" s="271" t="s">
        <v>79</v>
      </c>
      <c r="D29" s="29" t="s">
        <v>219</v>
      </c>
      <c r="E29" s="29" t="s">
        <v>1887</v>
      </c>
      <c r="F29" s="13" t="s">
        <v>249</v>
      </c>
      <c r="G29" s="109" t="s">
        <v>312</v>
      </c>
      <c r="H29" s="13">
        <v>26</v>
      </c>
      <c r="I29" s="13">
        <v>19.559999999999999</v>
      </c>
      <c r="J29" s="18">
        <f t="shared" si="0"/>
        <v>19.559999999999999</v>
      </c>
      <c r="K29" s="18">
        <v>20</v>
      </c>
      <c r="L29" s="18" t="s">
        <v>286</v>
      </c>
      <c r="M29" s="18" t="s">
        <v>268</v>
      </c>
      <c r="N29" s="18" t="s">
        <v>296</v>
      </c>
    </row>
    <row r="30" spans="1:14">
      <c r="C30" s="271" t="s">
        <v>79</v>
      </c>
      <c r="D30" s="29" t="s">
        <v>219</v>
      </c>
      <c r="E30" s="29" t="s">
        <v>1887</v>
      </c>
      <c r="F30" s="13" t="s">
        <v>249</v>
      </c>
      <c r="G30" s="109" t="s">
        <v>313</v>
      </c>
      <c r="H30" s="13" t="s">
        <v>314</v>
      </c>
      <c r="I30" s="13">
        <v>14.46</v>
      </c>
      <c r="J30" s="18">
        <f t="shared" si="0"/>
        <v>14.46</v>
      </c>
      <c r="K30" s="18">
        <v>4</v>
      </c>
      <c r="L30" s="18" t="s">
        <v>286</v>
      </c>
      <c r="M30" s="18" t="s">
        <v>268</v>
      </c>
      <c r="N30" s="18" t="s">
        <v>296</v>
      </c>
    </row>
    <row r="31" spans="1:14">
      <c r="C31" s="271" t="s">
        <v>79</v>
      </c>
      <c r="D31" s="29" t="s">
        <v>219</v>
      </c>
      <c r="E31" s="29" t="s">
        <v>1887</v>
      </c>
      <c r="F31" s="13" t="s">
        <v>249</v>
      </c>
      <c r="G31" s="13" t="s">
        <v>264</v>
      </c>
      <c r="H31" s="13" t="s">
        <v>315</v>
      </c>
      <c r="I31" s="13">
        <v>9.6999999999999993</v>
      </c>
      <c r="J31" s="18">
        <f t="shared" si="0"/>
        <v>9.6999999999999993</v>
      </c>
      <c r="K31" s="18">
        <v>2</v>
      </c>
      <c r="L31" s="18" t="s">
        <v>286</v>
      </c>
      <c r="M31" s="18" t="s">
        <v>268</v>
      </c>
      <c r="N31" s="18" t="s">
        <v>296</v>
      </c>
    </row>
    <row r="32" spans="1:14">
      <c r="C32" s="271" t="s">
        <v>79</v>
      </c>
      <c r="D32" s="29" t="s">
        <v>219</v>
      </c>
      <c r="E32" s="29" t="s">
        <v>1887</v>
      </c>
      <c r="F32" s="13" t="s">
        <v>248</v>
      </c>
      <c r="G32" s="13" t="s">
        <v>316</v>
      </c>
      <c r="H32" s="13">
        <v>27</v>
      </c>
      <c r="I32" s="13">
        <v>46.57</v>
      </c>
      <c r="J32" s="18">
        <f t="shared" si="0"/>
        <v>46.57</v>
      </c>
      <c r="K32" s="18">
        <v>35</v>
      </c>
      <c r="L32" s="18" t="s">
        <v>286</v>
      </c>
      <c r="M32" s="18" t="s">
        <v>268</v>
      </c>
      <c r="N32" s="18" t="s">
        <v>296</v>
      </c>
    </row>
    <row r="33" spans="3:14">
      <c r="C33" s="271" t="s">
        <v>79</v>
      </c>
      <c r="D33" s="29" t="s">
        <v>219</v>
      </c>
      <c r="E33" s="29" t="s">
        <v>1887</v>
      </c>
      <c r="F33" s="13" t="s">
        <v>248</v>
      </c>
      <c r="G33" s="13" t="s">
        <v>317</v>
      </c>
      <c r="H33" s="13">
        <v>28</v>
      </c>
      <c r="I33" s="13">
        <v>46.38</v>
      </c>
      <c r="J33" s="18">
        <f t="shared" si="0"/>
        <v>46.38</v>
      </c>
      <c r="K33" s="18">
        <v>35</v>
      </c>
      <c r="L33" s="18" t="s">
        <v>286</v>
      </c>
      <c r="M33" s="18" t="s">
        <v>268</v>
      </c>
      <c r="N33" s="18" t="s">
        <v>296</v>
      </c>
    </row>
    <row r="34" spans="3:14">
      <c r="C34" s="271" t="s">
        <v>79</v>
      </c>
      <c r="D34" s="29" t="s">
        <v>219</v>
      </c>
      <c r="E34" s="29" t="s">
        <v>1887</v>
      </c>
      <c r="F34" s="13" t="s">
        <v>248</v>
      </c>
      <c r="G34" s="13" t="s">
        <v>318</v>
      </c>
      <c r="H34" s="13">
        <v>29</v>
      </c>
      <c r="I34" s="13">
        <v>46.38</v>
      </c>
      <c r="J34" s="18">
        <f t="shared" si="0"/>
        <v>46.38</v>
      </c>
      <c r="K34" s="18">
        <v>35</v>
      </c>
      <c r="L34" s="18" t="s">
        <v>286</v>
      </c>
      <c r="M34" s="18" t="s">
        <v>268</v>
      </c>
      <c r="N34" s="18" t="s">
        <v>296</v>
      </c>
    </row>
    <row r="35" spans="3:14">
      <c r="C35" s="271" t="s">
        <v>79</v>
      </c>
      <c r="D35" s="29" t="s">
        <v>219</v>
      </c>
      <c r="E35" s="29" t="s">
        <v>1887</v>
      </c>
      <c r="F35" s="13" t="s">
        <v>248</v>
      </c>
      <c r="G35" s="13" t="s">
        <v>319</v>
      </c>
      <c r="H35" s="13">
        <v>30</v>
      </c>
      <c r="I35" s="13">
        <v>46.38</v>
      </c>
      <c r="J35" s="18">
        <f t="shared" si="0"/>
        <v>46.38</v>
      </c>
      <c r="K35" s="18">
        <v>35</v>
      </c>
      <c r="L35" s="18" t="s">
        <v>286</v>
      </c>
      <c r="M35" s="18" t="s">
        <v>268</v>
      </c>
      <c r="N35" s="18" t="s">
        <v>296</v>
      </c>
    </row>
    <row r="36" spans="3:14">
      <c r="C36" s="271" t="s">
        <v>79</v>
      </c>
      <c r="D36" s="29" t="s">
        <v>219</v>
      </c>
      <c r="E36" s="29" t="s">
        <v>1887</v>
      </c>
      <c r="F36" s="18" t="s">
        <v>208</v>
      </c>
      <c r="G36" s="13" t="s">
        <v>320</v>
      </c>
      <c r="H36" s="13">
        <v>31</v>
      </c>
      <c r="I36" s="13">
        <v>9.48</v>
      </c>
      <c r="J36" s="18">
        <f t="shared" si="0"/>
        <v>9.48</v>
      </c>
      <c r="K36" s="18">
        <v>3</v>
      </c>
      <c r="L36" s="18" t="s">
        <v>286</v>
      </c>
      <c r="M36" s="18" t="s">
        <v>268</v>
      </c>
      <c r="N36" s="18" t="s">
        <v>287</v>
      </c>
    </row>
    <row r="37" spans="3:14">
      <c r="C37" s="271" t="s">
        <v>79</v>
      </c>
      <c r="D37" s="29" t="s">
        <v>219</v>
      </c>
      <c r="E37" s="29" t="s">
        <v>1887</v>
      </c>
      <c r="F37" s="18" t="s">
        <v>208</v>
      </c>
      <c r="G37" s="13" t="s">
        <v>321</v>
      </c>
      <c r="H37" s="13">
        <v>32</v>
      </c>
      <c r="I37" s="13">
        <v>9.48</v>
      </c>
      <c r="J37" s="18">
        <f t="shared" si="0"/>
        <v>9.48</v>
      </c>
      <c r="K37" s="18">
        <v>3</v>
      </c>
      <c r="L37" s="18" t="s">
        <v>286</v>
      </c>
      <c r="M37" s="18" t="s">
        <v>268</v>
      </c>
      <c r="N37" s="18" t="s">
        <v>287</v>
      </c>
    </row>
    <row r="38" spans="3:14">
      <c r="C38" s="271" t="s">
        <v>79</v>
      </c>
      <c r="D38" s="29" t="s">
        <v>219</v>
      </c>
      <c r="E38" s="29" t="s">
        <v>1887</v>
      </c>
      <c r="F38" s="18" t="s">
        <v>208</v>
      </c>
      <c r="G38" s="13" t="s">
        <v>322</v>
      </c>
      <c r="H38" s="13">
        <v>33</v>
      </c>
      <c r="I38" s="13">
        <v>9.48</v>
      </c>
      <c r="J38" s="18">
        <f t="shared" si="0"/>
        <v>9.48</v>
      </c>
      <c r="K38" s="18">
        <v>3</v>
      </c>
      <c r="L38" s="18" t="s">
        <v>286</v>
      </c>
      <c r="M38" s="18" t="s">
        <v>268</v>
      </c>
      <c r="N38" s="18" t="s">
        <v>287</v>
      </c>
    </row>
    <row r="39" spans="3:14">
      <c r="C39" s="271" t="s">
        <v>79</v>
      </c>
      <c r="D39" s="29" t="s">
        <v>219</v>
      </c>
      <c r="E39" s="29" t="s">
        <v>1887</v>
      </c>
      <c r="F39" s="18" t="s">
        <v>208</v>
      </c>
      <c r="G39" s="13" t="s">
        <v>323</v>
      </c>
      <c r="H39" s="13">
        <v>34</v>
      </c>
      <c r="I39" s="13">
        <v>9.48</v>
      </c>
      <c r="J39" s="18">
        <f t="shared" si="0"/>
        <v>9.48</v>
      </c>
      <c r="K39" s="18">
        <v>3</v>
      </c>
      <c r="L39" s="18" t="s">
        <v>286</v>
      </c>
      <c r="M39" s="18" t="s">
        <v>268</v>
      </c>
      <c r="N39" s="18" t="s">
        <v>287</v>
      </c>
    </row>
    <row r="40" spans="3:14">
      <c r="C40" s="271" t="s">
        <v>79</v>
      </c>
      <c r="D40" s="29" t="s">
        <v>219</v>
      </c>
      <c r="E40" s="29" t="s">
        <v>1887</v>
      </c>
      <c r="F40" s="18" t="s">
        <v>593</v>
      </c>
      <c r="G40" s="13" t="s">
        <v>324</v>
      </c>
      <c r="H40" s="13">
        <v>35</v>
      </c>
      <c r="I40" s="13">
        <v>48.32</v>
      </c>
      <c r="J40" s="18">
        <f t="shared" si="0"/>
        <v>48.32</v>
      </c>
      <c r="K40" s="18">
        <v>13</v>
      </c>
      <c r="L40" s="18" t="s">
        <v>294</v>
      </c>
      <c r="M40" s="18" t="s">
        <v>268</v>
      </c>
      <c r="N40" s="18" t="s">
        <v>287</v>
      </c>
    </row>
    <row r="41" spans="3:14">
      <c r="C41" s="271" t="s">
        <v>79</v>
      </c>
      <c r="D41" s="29" t="s">
        <v>219</v>
      </c>
      <c r="E41" s="29" t="s">
        <v>1887</v>
      </c>
      <c r="F41" s="18" t="s">
        <v>593</v>
      </c>
      <c r="G41" s="13" t="s">
        <v>325</v>
      </c>
      <c r="H41" s="13">
        <v>36</v>
      </c>
      <c r="I41" s="13">
        <v>48.32</v>
      </c>
      <c r="J41" s="18">
        <f t="shared" si="0"/>
        <v>48.32</v>
      </c>
      <c r="K41" s="18">
        <v>23</v>
      </c>
      <c r="L41" s="18" t="s">
        <v>294</v>
      </c>
      <c r="M41" s="18" t="s">
        <v>268</v>
      </c>
      <c r="N41" s="18" t="s">
        <v>287</v>
      </c>
    </row>
    <row r="42" spans="3:14">
      <c r="C42" s="271" t="s">
        <v>79</v>
      </c>
      <c r="D42" s="29" t="s">
        <v>219</v>
      </c>
      <c r="E42" s="29" t="s">
        <v>1887</v>
      </c>
      <c r="F42" s="18" t="s">
        <v>593</v>
      </c>
      <c r="G42" s="13" t="s">
        <v>326</v>
      </c>
      <c r="H42" s="13">
        <v>37</v>
      </c>
      <c r="I42" s="13">
        <v>7.78</v>
      </c>
      <c r="J42" s="18">
        <f t="shared" si="0"/>
        <v>7.78</v>
      </c>
      <c r="K42" s="18">
        <v>1</v>
      </c>
      <c r="L42" s="18" t="s">
        <v>294</v>
      </c>
      <c r="M42" s="18" t="s">
        <v>572</v>
      </c>
      <c r="N42" s="18" t="s">
        <v>287</v>
      </c>
    </row>
    <row r="43" spans="3:14">
      <c r="C43" s="271" t="s">
        <v>79</v>
      </c>
      <c r="D43" s="29" t="s">
        <v>219</v>
      </c>
      <c r="E43" s="29" t="s">
        <v>1887</v>
      </c>
      <c r="F43" s="18" t="s">
        <v>593</v>
      </c>
      <c r="G43" s="13" t="s">
        <v>327</v>
      </c>
      <c r="H43" s="13" t="s">
        <v>328</v>
      </c>
      <c r="I43" s="13">
        <v>4</v>
      </c>
      <c r="J43" s="18">
        <f t="shared" si="0"/>
        <v>4</v>
      </c>
      <c r="K43" s="18">
        <v>0</v>
      </c>
      <c r="L43" s="18" t="s">
        <v>294</v>
      </c>
      <c r="M43" s="18" t="s">
        <v>268</v>
      </c>
      <c r="N43" s="18" t="s">
        <v>287</v>
      </c>
    </row>
    <row r="44" spans="3:14">
      <c r="C44" s="271" t="s">
        <v>79</v>
      </c>
      <c r="D44" s="29" t="s">
        <v>219</v>
      </c>
      <c r="E44" s="29" t="s">
        <v>1887</v>
      </c>
      <c r="F44" s="13" t="s">
        <v>248</v>
      </c>
      <c r="G44" s="13" t="s">
        <v>329</v>
      </c>
      <c r="H44" s="13">
        <v>38</v>
      </c>
      <c r="I44" s="13">
        <v>46.57</v>
      </c>
      <c r="J44" s="18">
        <f t="shared" si="0"/>
        <v>46.57</v>
      </c>
      <c r="K44" s="18">
        <v>35</v>
      </c>
      <c r="L44" s="18" t="s">
        <v>286</v>
      </c>
      <c r="M44" s="18" t="s">
        <v>268</v>
      </c>
      <c r="N44" s="18" t="s">
        <v>296</v>
      </c>
    </row>
    <row r="45" spans="3:14">
      <c r="C45" s="271" t="s">
        <v>79</v>
      </c>
      <c r="D45" s="29" t="s">
        <v>219</v>
      </c>
      <c r="E45" s="29" t="s">
        <v>1887</v>
      </c>
      <c r="F45" s="13" t="s">
        <v>248</v>
      </c>
      <c r="G45" s="13" t="s">
        <v>330</v>
      </c>
      <c r="H45" s="13">
        <v>39</v>
      </c>
      <c r="I45" s="13">
        <v>48.66</v>
      </c>
      <c r="J45" s="18">
        <f t="shared" si="0"/>
        <v>48.66</v>
      </c>
      <c r="K45" s="18">
        <v>35</v>
      </c>
      <c r="L45" s="18" t="s">
        <v>286</v>
      </c>
      <c r="M45" s="18" t="s">
        <v>268</v>
      </c>
      <c r="N45" s="18" t="s">
        <v>296</v>
      </c>
    </row>
    <row r="46" spans="3:14">
      <c r="C46" s="271" t="s">
        <v>79</v>
      </c>
      <c r="D46" s="29" t="s">
        <v>219</v>
      </c>
      <c r="E46" s="29" t="s">
        <v>1887</v>
      </c>
      <c r="F46" s="18" t="s">
        <v>208</v>
      </c>
      <c r="G46" s="13" t="s">
        <v>240</v>
      </c>
      <c r="H46" s="13">
        <v>40</v>
      </c>
      <c r="I46" s="13">
        <v>17.850000000000001</v>
      </c>
      <c r="J46" s="18">
        <f t="shared" si="0"/>
        <v>17.850000000000001</v>
      </c>
      <c r="K46" s="18">
        <v>5</v>
      </c>
      <c r="L46" s="18" t="s">
        <v>286</v>
      </c>
      <c r="M46" s="18" t="s">
        <v>268</v>
      </c>
      <c r="N46" s="18" t="s">
        <v>296</v>
      </c>
    </row>
    <row r="47" spans="3:14">
      <c r="C47" s="271" t="s">
        <v>79</v>
      </c>
      <c r="D47" s="29" t="s">
        <v>219</v>
      </c>
      <c r="E47" s="29" t="s">
        <v>1887</v>
      </c>
      <c r="F47" s="13" t="s">
        <v>596</v>
      </c>
      <c r="G47" s="13" t="s">
        <v>331</v>
      </c>
      <c r="H47" s="13">
        <v>42</v>
      </c>
      <c r="I47" s="13">
        <v>29.62</v>
      </c>
      <c r="J47" s="18">
        <f t="shared" si="0"/>
        <v>29.62</v>
      </c>
      <c r="K47" s="18">
        <v>30</v>
      </c>
      <c r="L47" s="18" t="s">
        <v>294</v>
      </c>
      <c r="M47" s="18" t="s">
        <v>268</v>
      </c>
      <c r="N47" s="18" t="s">
        <v>296</v>
      </c>
    </row>
    <row r="48" spans="3:14">
      <c r="C48" s="271" t="s">
        <v>79</v>
      </c>
      <c r="D48" s="29" t="s">
        <v>219</v>
      </c>
      <c r="E48" s="29" t="s">
        <v>1887</v>
      </c>
      <c r="F48" s="13" t="s">
        <v>208</v>
      </c>
      <c r="G48" s="13" t="s">
        <v>208</v>
      </c>
      <c r="H48" s="13">
        <v>41</v>
      </c>
      <c r="I48" s="13">
        <v>14.48</v>
      </c>
      <c r="J48" s="18">
        <f t="shared" si="0"/>
        <v>14.48</v>
      </c>
      <c r="K48" s="18">
        <v>5</v>
      </c>
      <c r="L48" s="18" t="s">
        <v>294</v>
      </c>
      <c r="M48" s="18" t="s">
        <v>268</v>
      </c>
      <c r="N48" s="18" t="s">
        <v>296</v>
      </c>
    </row>
    <row r="49" spans="1:19" s="42" customFormat="1">
      <c r="C49" s="271" t="s">
        <v>79</v>
      </c>
      <c r="D49" s="29" t="s">
        <v>219</v>
      </c>
      <c r="E49" s="29"/>
      <c r="F49" s="13" t="s">
        <v>821</v>
      </c>
      <c r="G49" s="13" t="s">
        <v>332</v>
      </c>
      <c r="H49" s="13" t="s">
        <v>100</v>
      </c>
      <c r="I49" s="13">
        <v>10.78</v>
      </c>
      <c r="J49" s="18">
        <f t="shared" si="0"/>
        <v>10.78</v>
      </c>
      <c r="K49" s="18"/>
      <c r="L49" s="18" t="s">
        <v>333</v>
      </c>
      <c r="M49" s="18" t="s">
        <v>1899</v>
      </c>
      <c r="N49" s="18" t="s">
        <v>287</v>
      </c>
      <c r="R49" s="43"/>
      <c r="S49" s="43"/>
    </row>
    <row r="50" spans="1:19">
      <c r="C50" s="271" t="s">
        <v>79</v>
      </c>
      <c r="D50" s="29" t="s">
        <v>219</v>
      </c>
      <c r="E50" s="29"/>
      <c r="F50" s="13" t="s">
        <v>27</v>
      </c>
      <c r="G50" s="13" t="s">
        <v>27</v>
      </c>
      <c r="H50" s="13">
        <v>44</v>
      </c>
      <c r="I50" s="13">
        <v>6.53</v>
      </c>
      <c r="J50" s="18">
        <f t="shared" si="0"/>
        <v>6.53</v>
      </c>
      <c r="K50" s="18"/>
      <c r="L50" s="18" t="s">
        <v>294</v>
      </c>
      <c r="M50" s="18" t="s">
        <v>268</v>
      </c>
      <c r="N50" s="18" t="s">
        <v>296</v>
      </c>
    </row>
    <row r="51" spans="1:19">
      <c r="C51" s="271" t="s">
        <v>79</v>
      </c>
      <c r="D51" s="29" t="s">
        <v>219</v>
      </c>
      <c r="E51" s="29"/>
      <c r="F51" s="13" t="s">
        <v>355</v>
      </c>
      <c r="G51" s="13" t="s">
        <v>217</v>
      </c>
      <c r="H51" s="13">
        <v>45</v>
      </c>
      <c r="I51" s="13">
        <v>12.6</v>
      </c>
      <c r="J51" s="18">
        <f t="shared" si="0"/>
        <v>12.6</v>
      </c>
      <c r="K51" s="18"/>
      <c r="L51" s="18" t="s">
        <v>294</v>
      </c>
      <c r="M51" s="18" t="s">
        <v>268</v>
      </c>
      <c r="N51" s="18" t="s">
        <v>296</v>
      </c>
    </row>
    <row r="52" spans="1:19">
      <c r="C52" s="271" t="s">
        <v>79</v>
      </c>
      <c r="D52" s="29" t="s">
        <v>219</v>
      </c>
      <c r="E52" s="29"/>
      <c r="F52" s="18" t="s">
        <v>192</v>
      </c>
      <c r="G52" s="12" t="s">
        <v>799</v>
      </c>
      <c r="H52" s="12" t="s">
        <v>801</v>
      </c>
      <c r="I52" s="12">
        <v>5.55</v>
      </c>
      <c r="J52" s="18">
        <f t="shared" si="0"/>
        <v>5.55</v>
      </c>
      <c r="K52" s="18"/>
      <c r="L52" s="18" t="s">
        <v>294</v>
      </c>
      <c r="M52" s="18" t="s">
        <v>572</v>
      </c>
      <c r="N52" s="18" t="s">
        <v>296</v>
      </c>
    </row>
    <row r="53" spans="1:19">
      <c r="C53" s="271" t="s">
        <v>79</v>
      </c>
      <c r="D53" s="29" t="s">
        <v>219</v>
      </c>
      <c r="E53" s="29"/>
      <c r="F53" s="18" t="s">
        <v>192</v>
      </c>
      <c r="G53" s="12" t="s">
        <v>800</v>
      </c>
      <c r="H53" s="12" t="s">
        <v>802</v>
      </c>
      <c r="I53" s="12">
        <v>5.55</v>
      </c>
      <c r="J53" s="18">
        <f t="shared" si="0"/>
        <v>5.55</v>
      </c>
      <c r="K53" s="18"/>
      <c r="L53" s="18" t="s">
        <v>294</v>
      </c>
      <c r="M53" s="18" t="s">
        <v>572</v>
      </c>
      <c r="N53" s="18" t="s">
        <v>296</v>
      </c>
    </row>
    <row r="54" spans="1:19">
      <c r="C54" s="271" t="s">
        <v>79</v>
      </c>
      <c r="D54" s="29" t="s">
        <v>219</v>
      </c>
      <c r="E54" s="29"/>
      <c r="F54" s="18" t="s">
        <v>192</v>
      </c>
      <c r="G54" s="12" t="s">
        <v>799</v>
      </c>
      <c r="H54" s="12" t="s">
        <v>803</v>
      </c>
      <c r="I54" s="12">
        <v>6.19</v>
      </c>
      <c r="J54" s="18">
        <f t="shared" si="0"/>
        <v>6.19</v>
      </c>
      <c r="K54" s="18"/>
      <c r="L54" s="18" t="s">
        <v>294</v>
      </c>
      <c r="M54" s="18" t="s">
        <v>572</v>
      </c>
      <c r="N54" s="18" t="s">
        <v>296</v>
      </c>
    </row>
    <row r="55" spans="1:19">
      <c r="C55" s="271" t="s">
        <v>79</v>
      </c>
      <c r="D55" s="29" t="s">
        <v>219</v>
      </c>
      <c r="E55" s="29"/>
      <c r="F55" s="18" t="s">
        <v>192</v>
      </c>
      <c r="G55" s="12" t="s">
        <v>800</v>
      </c>
      <c r="H55" s="12" t="s">
        <v>804</v>
      </c>
      <c r="I55" s="12">
        <v>6.19</v>
      </c>
      <c r="J55" s="18">
        <f t="shared" si="0"/>
        <v>6.19</v>
      </c>
      <c r="K55" s="18"/>
      <c r="L55" s="18" t="s">
        <v>294</v>
      </c>
      <c r="M55" s="18" t="s">
        <v>572</v>
      </c>
      <c r="N55" s="18" t="s">
        <v>296</v>
      </c>
    </row>
    <row r="56" spans="1:19">
      <c r="C56" s="271" t="s">
        <v>79</v>
      </c>
      <c r="D56" s="29" t="s">
        <v>219</v>
      </c>
      <c r="E56" s="29"/>
      <c r="F56" s="18" t="s">
        <v>192</v>
      </c>
      <c r="G56" s="12" t="s">
        <v>799</v>
      </c>
      <c r="H56" s="12" t="s">
        <v>805</v>
      </c>
      <c r="I56" s="12">
        <v>18</v>
      </c>
      <c r="J56" s="18">
        <f t="shared" si="0"/>
        <v>18</v>
      </c>
      <c r="K56" s="18"/>
      <c r="L56" s="18" t="s">
        <v>294</v>
      </c>
      <c r="M56" s="18" t="s">
        <v>572</v>
      </c>
      <c r="N56" s="18" t="s">
        <v>296</v>
      </c>
    </row>
    <row r="57" spans="1:19">
      <c r="C57" s="271" t="s">
        <v>79</v>
      </c>
      <c r="D57" s="29" t="s">
        <v>219</v>
      </c>
      <c r="E57" s="29"/>
      <c r="F57" s="18" t="s">
        <v>192</v>
      </c>
      <c r="G57" s="12" t="s">
        <v>800</v>
      </c>
      <c r="H57" s="12" t="s">
        <v>806</v>
      </c>
      <c r="I57" s="12">
        <v>18</v>
      </c>
      <c r="J57" s="18">
        <f t="shared" si="0"/>
        <v>18</v>
      </c>
      <c r="K57" s="18"/>
      <c r="L57" s="18" t="s">
        <v>294</v>
      </c>
      <c r="M57" s="18" t="s">
        <v>572</v>
      </c>
      <c r="N57" s="18" t="s">
        <v>296</v>
      </c>
    </row>
    <row r="58" spans="1:19">
      <c r="C58" s="271" t="s">
        <v>79</v>
      </c>
      <c r="D58" s="29" t="s">
        <v>219</v>
      </c>
      <c r="E58" s="29"/>
      <c r="F58" s="18" t="s">
        <v>192</v>
      </c>
      <c r="G58" s="12" t="s">
        <v>799</v>
      </c>
      <c r="H58" s="12" t="s">
        <v>807</v>
      </c>
      <c r="I58" s="12">
        <v>22.8</v>
      </c>
      <c r="J58" s="18">
        <f t="shared" si="0"/>
        <v>22.8</v>
      </c>
      <c r="K58" s="18"/>
      <c r="L58" s="18" t="s">
        <v>294</v>
      </c>
      <c r="M58" s="18" t="s">
        <v>572</v>
      </c>
      <c r="N58" s="18" t="s">
        <v>296</v>
      </c>
    </row>
    <row r="59" spans="1:19">
      <c r="C59" s="271" t="s">
        <v>79</v>
      </c>
      <c r="D59" s="29" t="s">
        <v>219</v>
      </c>
      <c r="E59" s="29"/>
      <c r="F59" s="18" t="s">
        <v>192</v>
      </c>
      <c r="G59" s="12" t="s">
        <v>800</v>
      </c>
      <c r="H59" s="12" t="s">
        <v>808</v>
      </c>
      <c r="I59" s="12">
        <v>24.89</v>
      </c>
      <c r="J59" s="18">
        <f t="shared" si="0"/>
        <v>24.89</v>
      </c>
      <c r="K59" s="18"/>
      <c r="L59" s="18" t="s">
        <v>294</v>
      </c>
      <c r="M59" s="18" t="s">
        <v>572</v>
      </c>
      <c r="N59" s="18" t="s">
        <v>296</v>
      </c>
    </row>
    <row r="60" spans="1:19">
      <c r="C60" s="271" t="s">
        <v>79</v>
      </c>
      <c r="D60" s="29" t="s">
        <v>219</v>
      </c>
      <c r="E60" s="29"/>
      <c r="F60" s="18" t="s">
        <v>192</v>
      </c>
      <c r="G60" s="12" t="s">
        <v>809</v>
      </c>
      <c r="H60" s="12" t="s">
        <v>811</v>
      </c>
      <c r="I60" s="12">
        <v>5.49</v>
      </c>
      <c r="J60" s="18">
        <f t="shared" si="0"/>
        <v>5.49</v>
      </c>
      <c r="K60" s="18"/>
      <c r="L60" s="18" t="s">
        <v>294</v>
      </c>
      <c r="M60" s="18" t="s">
        <v>572</v>
      </c>
      <c r="N60" s="18" t="s">
        <v>296</v>
      </c>
    </row>
    <row r="61" spans="1:19">
      <c r="A61">
        <f>SUM(I4:I64)</f>
        <v>2239.8799999999992</v>
      </c>
      <c r="C61" s="271" t="s">
        <v>79</v>
      </c>
      <c r="D61" s="29" t="s">
        <v>219</v>
      </c>
      <c r="E61" s="29"/>
      <c r="F61" s="18" t="s">
        <v>192</v>
      </c>
      <c r="G61" s="12" t="s">
        <v>810</v>
      </c>
      <c r="H61" s="12" t="s">
        <v>812</v>
      </c>
      <c r="I61" s="12">
        <v>5.49</v>
      </c>
      <c r="J61" s="12">
        <v>5.49</v>
      </c>
      <c r="K61" s="12"/>
      <c r="L61" s="18" t="s">
        <v>294</v>
      </c>
      <c r="M61" s="18" t="s">
        <v>572</v>
      </c>
      <c r="N61" s="18" t="s">
        <v>296</v>
      </c>
    </row>
    <row r="62" spans="1:19">
      <c r="C62" s="271" t="s">
        <v>79</v>
      </c>
      <c r="D62" s="29" t="s">
        <v>219</v>
      </c>
      <c r="E62" s="29"/>
      <c r="F62" s="18" t="s">
        <v>192</v>
      </c>
      <c r="G62" s="12" t="s">
        <v>800</v>
      </c>
      <c r="H62" s="12" t="s">
        <v>813</v>
      </c>
      <c r="I62" s="12">
        <v>17.05</v>
      </c>
      <c r="J62" s="12">
        <v>17.05</v>
      </c>
      <c r="K62" s="12"/>
      <c r="L62" s="18" t="s">
        <v>294</v>
      </c>
      <c r="M62" s="18" t="s">
        <v>572</v>
      </c>
      <c r="N62" s="18" t="s">
        <v>296</v>
      </c>
    </row>
    <row r="63" spans="1:19">
      <c r="C63" s="271" t="s">
        <v>79</v>
      </c>
      <c r="D63" s="29" t="s">
        <v>219</v>
      </c>
      <c r="E63" s="29"/>
      <c r="F63" s="18" t="s">
        <v>192</v>
      </c>
      <c r="G63" s="12" t="s">
        <v>799</v>
      </c>
      <c r="H63" s="12" t="s">
        <v>814</v>
      </c>
      <c r="I63" s="12">
        <v>18.309999999999999</v>
      </c>
      <c r="J63" s="12">
        <v>18.309999999999999</v>
      </c>
      <c r="K63" s="12"/>
      <c r="L63" s="18" t="s">
        <v>294</v>
      </c>
      <c r="M63" s="18" t="s">
        <v>572</v>
      </c>
      <c r="N63" s="18" t="s">
        <v>296</v>
      </c>
    </row>
    <row r="64" spans="1:19">
      <c r="C64" s="271" t="s">
        <v>79</v>
      </c>
      <c r="D64" s="29" t="s">
        <v>219</v>
      </c>
      <c r="E64" s="29"/>
      <c r="F64" s="39" t="s">
        <v>194</v>
      </c>
      <c r="G64" s="39" t="s">
        <v>194</v>
      </c>
      <c r="H64" s="18" t="s">
        <v>100</v>
      </c>
      <c r="I64" s="18">
        <f>55.88+21.26+19.88+58.63+60.76+28.39+20.31+158.75+18.86+127.46+47.11+65.97+7.55+3.91</f>
        <v>694.72</v>
      </c>
      <c r="J64" s="18">
        <f t="shared" si="0"/>
        <v>694.72</v>
      </c>
      <c r="K64" s="18"/>
      <c r="L64" s="18" t="s">
        <v>294</v>
      </c>
      <c r="M64" s="18" t="s">
        <v>572</v>
      </c>
      <c r="N64" s="18" t="s">
        <v>296</v>
      </c>
    </row>
    <row r="65" spans="2:14">
      <c r="B65" s="11"/>
      <c r="C65" s="314" t="s">
        <v>606</v>
      </c>
      <c r="D65" s="46" t="s">
        <v>219</v>
      </c>
      <c r="E65" s="44"/>
      <c r="F65" s="46" t="s">
        <v>249</v>
      </c>
      <c r="G65" s="44" t="s">
        <v>213</v>
      </c>
      <c r="H65" s="316"/>
      <c r="I65" s="317">
        <v>5.6</v>
      </c>
      <c r="J65" s="316"/>
      <c r="K65" s="316"/>
      <c r="L65" s="44" t="s">
        <v>294</v>
      </c>
      <c r="M65" s="44" t="s">
        <v>572</v>
      </c>
      <c r="N65" s="317" t="s">
        <v>1996</v>
      </c>
    </row>
    <row r="66" spans="2:14">
      <c r="C66" s="314" t="s">
        <v>606</v>
      </c>
      <c r="D66" s="46" t="s">
        <v>219</v>
      </c>
      <c r="E66" s="315"/>
      <c r="F66" s="46" t="s">
        <v>192</v>
      </c>
      <c r="G66" s="44" t="s">
        <v>192</v>
      </c>
      <c r="H66" s="316"/>
      <c r="I66" s="317">
        <v>1.7</v>
      </c>
      <c r="J66" s="316"/>
      <c r="K66" s="316"/>
      <c r="L66" s="44" t="s">
        <v>294</v>
      </c>
      <c r="M66" s="44" t="s">
        <v>572</v>
      </c>
      <c r="N66" s="317" t="s">
        <v>1996</v>
      </c>
    </row>
    <row r="67" spans="2:14" ht="45">
      <c r="C67" s="652" t="s">
        <v>820</v>
      </c>
      <c r="D67" s="18" t="s">
        <v>644</v>
      </c>
      <c r="E67" s="18"/>
      <c r="F67" s="18" t="s">
        <v>615</v>
      </c>
      <c r="G67" s="18" t="s">
        <v>615</v>
      </c>
      <c r="H67" s="18" t="s">
        <v>100</v>
      </c>
      <c r="I67" s="18">
        <v>1197.79</v>
      </c>
      <c r="J67" s="18">
        <f>I67</f>
        <v>1197.79</v>
      </c>
      <c r="K67" s="18"/>
      <c r="L67" s="18" t="s">
        <v>100</v>
      </c>
      <c r="M67" s="27" t="s">
        <v>1901</v>
      </c>
      <c r="N67" s="18" t="s">
        <v>100</v>
      </c>
    </row>
    <row r="68" spans="2:14">
      <c r="C68" s="653"/>
      <c r="D68" s="18" t="s">
        <v>644</v>
      </c>
      <c r="E68" s="18"/>
      <c r="F68" s="18" t="s">
        <v>616</v>
      </c>
      <c r="G68" s="18" t="s">
        <v>616</v>
      </c>
      <c r="H68" s="18" t="s">
        <v>100</v>
      </c>
      <c r="I68" s="18">
        <v>324.41000000000003</v>
      </c>
      <c r="J68" s="18">
        <f>I68</f>
        <v>324.41000000000003</v>
      </c>
      <c r="K68" s="18"/>
      <c r="L68" s="18" t="s">
        <v>100</v>
      </c>
      <c r="M68" s="18" t="s">
        <v>1856</v>
      </c>
      <c r="N68" s="18" t="s">
        <v>100</v>
      </c>
    </row>
    <row r="69" spans="2:14">
      <c r="C69" s="654"/>
      <c r="D69" s="18" t="s">
        <v>644</v>
      </c>
      <c r="E69" s="18"/>
      <c r="F69" s="12" t="s">
        <v>602</v>
      </c>
      <c r="G69" s="12" t="s">
        <v>602</v>
      </c>
      <c r="H69" s="18" t="s">
        <v>100</v>
      </c>
      <c r="I69" s="18">
        <v>566.15</v>
      </c>
      <c r="J69" s="18">
        <f>I69</f>
        <v>566.15</v>
      </c>
      <c r="K69" s="18"/>
      <c r="L69" s="18" t="s">
        <v>100</v>
      </c>
      <c r="M69" s="18" t="s">
        <v>100</v>
      </c>
      <c r="N69" s="18" t="s">
        <v>100</v>
      </c>
    </row>
    <row r="72" spans="2:14">
      <c r="J72" s="61"/>
      <c r="K72" s="61"/>
    </row>
    <row r="74" spans="2:14">
      <c r="F74" s="18"/>
      <c r="G74" s="62"/>
      <c r="I74" s="62"/>
    </row>
    <row r="75" spans="2:14">
      <c r="F75" s="18"/>
      <c r="G75" s="62"/>
      <c r="I75" s="62"/>
    </row>
    <row r="76" spans="2:14">
      <c r="F76" s="18"/>
      <c r="G76" s="62"/>
      <c r="I76" s="62"/>
    </row>
    <row r="77" spans="2:14">
      <c r="F77" s="18"/>
      <c r="G77" s="62"/>
      <c r="I77" s="13"/>
    </row>
    <row r="78" spans="2:14">
      <c r="F78" s="18"/>
      <c r="G78" s="62"/>
      <c r="I78" s="62"/>
    </row>
    <row r="79" spans="2:14">
      <c r="F79" s="18"/>
      <c r="G79" s="62"/>
      <c r="I79" s="62"/>
    </row>
    <row r="80" spans="2:14">
      <c r="F80" s="18"/>
      <c r="G80" s="62"/>
      <c r="I80" s="62"/>
    </row>
    <row r="81" spans="6:9">
      <c r="F81" s="18"/>
      <c r="G81" s="62"/>
      <c r="I81" s="62"/>
    </row>
    <row r="82" spans="6:9">
      <c r="F82" s="18"/>
      <c r="G82" s="62"/>
      <c r="I82" s="62"/>
    </row>
    <row r="83" spans="6:9">
      <c r="F83" s="18"/>
      <c r="G83" s="63"/>
      <c r="I83" s="63"/>
    </row>
    <row r="84" spans="6:9">
      <c r="F84" s="18"/>
      <c r="G84" s="62"/>
      <c r="I84" s="62"/>
    </row>
    <row r="85" spans="6:9">
      <c r="F85" s="18"/>
      <c r="G85" s="62"/>
      <c r="I85" s="62"/>
    </row>
    <row r="86" spans="6:9">
      <c r="F86" s="18"/>
      <c r="G86" s="62"/>
      <c r="I86" s="62"/>
    </row>
    <row r="87" spans="6:9">
      <c r="F87" s="18"/>
      <c r="G87" s="62"/>
      <c r="I87" s="62"/>
    </row>
    <row r="88" spans="6:9">
      <c r="F88" s="18"/>
      <c r="G88" s="62"/>
      <c r="I88" s="62"/>
    </row>
    <row r="89" spans="6:9">
      <c r="F89" s="18"/>
      <c r="G89" s="62"/>
      <c r="I89" s="62"/>
    </row>
    <row r="90" spans="6:9">
      <c r="F90" s="18"/>
      <c r="G90" s="62"/>
      <c r="I90" s="62"/>
    </row>
    <row r="91" spans="6:9">
      <c r="F91" s="18"/>
      <c r="G91" s="62"/>
      <c r="I91" s="62"/>
    </row>
    <row r="92" spans="6:9">
      <c r="F92" s="18"/>
      <c r="G92" s="62"/>
      <c r="I92" s="62"/>
    </row>
    <row r="93" spans="6:9">
      <c r="F93" s="18"/>
      <c r="G93" s="62"/>
      <c r="I93" s="62"/>
    </row>
    <row r="94" spans="6:9">
      <c r="F94" s="18"/>
      <c r="G94" s="62"/>
      <c r="I94" s="62"/>
    </row>
    <row r="95" spans="6:9">
      <c r="F95" s="18"/>
      <c r="G95" s="62"/>
      <c r="I95" s="62"/>
    </row>
    <row r="96" spans="6:9">
      <c r="F96" s="18"/>
      <c r="G96" s="62"/>
      <c r="I96" s="62"/>
    </row>
    <row r="97" spans="6:9">
      <c r="F97" s="18"/>
      <c r="G97" s="63"/>
      <c r="I97" s="63"/>
    </row>
    <row r="98" spans="6:9">
      <c r="F98" s="18"/>
      <c r="G98" s="62"/>
      <c r="I98" s="62"/>
    </row>
    <row r="99" spans="6:9">
      <c r="F99" s="18"/>
      <c r="G99" s="62"/>
      <c r="I99" s="62"/>
    </row>
    <row r="100" spans="6:9">
      <c r="F100" s="18"/>
      <c r="G100" s="62"/>
      <c r="I100" s="62"/>
    </row>
    <row r="101" spans="6:9">
      <c r="F101" s="18"/>
      <c r="G101" s="62"/>
      <c r="I101" s="62"/>
    </row>
    <row r="102" spans="6:9">
      <c r="F102" s="18"/>
      <c r="G102" s="63"/>
      <c r="I102" s="63"/>
    </row>
    <row r="103" spans="6:9">
      <c r="F103" s="18"/>
      <c r="G103" s="62"/>
      <c r="I103" s="62"/>
    </row>
    <row r="104" spans="6:9">
      <c r="F104" s="18"/>
      <c r="G104" s="62"/>
      <c r="I104" s="62"/>
    </row>
    <row r="105" spans="6:9">
      <c r="F105" s="18"/>
      <c r="G105" s="62"/>
      <c r="I105" s="62"/>
    </row>
    <row r="106" spans="6:9">
      <c r="F106" s="18"/>
      <c r="G106" s="62"/>
      <c r="I106" s="62"/>
    </row>
    <row r="107" spans="6:9">
      <c r="F107" s="18"/>
      <c r="G107" s="62"/>
      <c r="I107" s="62"/>
    </row>
    <row r="108" spans="6:9">
      <c r="F108" s="18"/>
      <c r="G108" s="62"/>
      <c r="I108" s="62"/>
    </row>
    <row r="109" spans="6:9">
      <c r="F109" s="18"/>
      <c r="G109" s="63"/>
      <c r="I109" s="63"/>
    </row>
    <row r="110" spans="6:9">
      <c r="F110" s="18"/>
      <c r="G110" s="62"/>
      <c r="I110" s="62"/>
    </row>
    <row r="111" spans="6:9">
      <c r="F111" s="18"/>
      <c r="G111" s="62"/>
      <c r="I111" s="62"/>
    </row>
    <row r="112" spans="6:9">
      <c r="F112" s="18"/>
      <c r="G112" s="62"/>
      <c r="I112" s="62"/>
    </row>
    <row r="113" spans="6:9">
      <c r="F113" s="18"/>
      <c r="G113" s="62"/>
      <c r="I113" s="62"/>
    </row>
    <row r="114" spans="6:9">
      <c r="F114" s="18"/>
      <c r="G114" s="62"/>
      <c r="I114" s="62"/>
    </row>
    <row r="115" spans="6:9">
      <c r="F115" s="18"/>
      <c r="G115" s="62"/>
      <c r="I115" s="62"/>
    </row>
    <row r="116" spans="6:9">
      <c r="F116" s="18"/>
      <c r="G116" s="62"/>
      <c r="I116" s="62"/>
    </row>
    <row r="117" spans="6:9">
      <c r="F117" s="18"/>
      <c r="H117" s="12"/>
    </row>
    <row r="118" spans="6:9">
      <c r="F118" s="18"/>
      <c r="H118" s="12"/>
    </row>
    <row r="119" spans="6:9">
      <c r="F119" s="18"/>
      <c r="H119" s="12"/>
    </row>
    <row r="120" spans="6:9">
      <c r="F120" s="18"/>
      <c r="H120" s="12"/>
    </row>
    <row r="121" spans="6:9">
      <c r="F121" s="18"/>
      <c r="H121" s="12"/>
    </row>
    <row r="122" spans="6:9">
      <c r="F122" s="18"/>
      <c r="H122" s="12"/>
    </row>
    <row r="123" spans="6:9">
      <c r="F123" s="18"/>
      <c r="H123" s="12"/>
    </row>
    <row r="124" spans="6:9">
      <c r="F124" s="18"/>
      <c r="H124" s="12"/>
    </row>
    <row r="125" spans="6:9">
      <c r="F125" s="18"/>
      <c r="H125" s="12"/>
    </row>
    <row r="126" spans="6:9">
      <c r="F126" s="18"/>
      <c r="H126" s="12"/>
    </row>
    <row r="127" spans="6:9">
      <c r="F127" s="18"/>
      <c r="H127" s="12"/>
    </row>
    <row r="128" spans="6:9">
      <c r="F128" s="18"/>
      <c r="H128" s="12"/>
    </row>
    <row r="129" spans="6:6">
      <c r="F129" s="18"/>
    </row>
  </sheetData>
  <autoFilter ref="F1:N129" xr:uid="{5CC84932-5F02-4247-9921-512143B2AA71}"/>
  <mergeCells count="3">
    <mergeCell ref="R2:S2"/>
    <mergeCell ref="C67:C69"/>
    <mergeCell ref="L2:N2"/>
  </mergeCells>
  <pageMargins left="0.98425196850393704" right="0.51181102362204722" top="0.59055118110236227" bottom="0.59055118110236227" header="0.31496062992125984" footer="0.31496062992125984"/>
  <pageSetup paperSize="9" scale="73" fitToHeight="0" orientation="landscape" r:id="rId1"/>
  <headerFooter>
    <oddHeader>&amp;C&amp;F&amp;R&amp;A</oddHeader>
    <oddFooter>&amp;LÚLTIMA ATUALIZAÇÃO: 30/05/2025&amp;CUFCA/DINFRA - Pág &amp;P/&amp;N&amp;RSUPERVISÃO DO LEVANTAMENTO: Arq. LOUISE BARBOSA</oddFooter>
  </headerFooter>
  <colBreaks count="1" manualBreakCount="1">
    <brk id="14" max="129"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F8451-D4BB-468E-B2EA-85F4ADEF0045}">
  <sheetPr>
    <tabColor theme="5" tint="0.59999389629810485"/>
    <pageSetUpPr fitToPage="1"/>
  </sheetPr>
  <dimension ref="A1:T101"/>
  <sheetViews>
    <sheetView view="pageBreakPreview" topLeftCell="C7" zoomScale="70" zoomScaleNormal="70" zoomScaleSheetLayoutView="70" workbookViewId="0">
      <selection activeCell="Q50" sqref="Q50"/>
    </sheetView>
  </sheetViews>
  <sheetFormatPr defaultRowHeight="15"/>
  <cols>
    <col min="3" max="3" width="21.42578125" style="12" customWidth="1"/>
    <col min="4" max="4" width="13.42578125" style="12" bestFit="1" customWidth="1"/>
    <col min="5" max="5" width="13.42578125" style="12" customWidth="1"/>
    <col min="6" max="6" width="21.7109375" style="48" customWidth="1"/>
    <col min="7" max="7" width="35.42578125" style="48" customWidth="1"/>
    <col min="8" max="8" width="11" style="48" bestFit="1" customWidth="1"/>
    <col min="9" max="9" width="15.42578125" style="48" bestFit="1" customWidth="1"/>
    <col min="10" max="10" width="24.7109375" style="48" customWidth="1"/>
    <col min="11" max="11" width="11.28515625" style="48" bestFit="1" customWidth="1"/>
    <col min="12" max="12" width="11.28515625" style="48" customWidth="1"/>
    <col min="13" max="13" width="36.42578125" style="48" customWidth="1"/>
    <col min="14" max="14" width="37.5703125" style="48" customWidth="1"/>
    <col min="15" max="15" width="24.7109375" style="48" customWidth="1"/>
    <col min="16" max="16" width="20.7109375" customWidth="1"/>
    <col min="19" max="19" width="17.7109375" style="3" customWidth="1"/>
    <col min="20" max="20" width="16.5703125" style="3" customWidth="1"/>
  </cols>
  <sheetData>
    <row r="1" spans="1:20">
      <c r="A1" s="117"/>
      <c r="B1" s="118"/>
      <c r="C1" s="152" t="s">
        <v>1325</v>
      </c>
      <c r="D1" s="56"/>
      <c r="E1" s="56"/>
      <c r="F1" s="56"/>
      <c r="G1"/>
      <c r="H1"/>
      <c r="I1"/>
      <c r="J1"/>
      <c r="K1"/>
      <c r="L1"/>
      <c r="M1"/>
      <c r="N1"/>
      <c r="O1"/>
    </row>
    <row r="2" spans="1:20">
      <c r="A2" s="120"/>
      <c r="C2" s="11"/>
      <c r="D2" s="18"/>
      <c r="E2" s="18"/>
      <c r="F2" s="18"/>
      <c r="G2" s="3"/>
      <c r="H2" s="3"/>
      <c r="I2" s="3"/>
      <c r="J2" s="3"/>
      <c r="K2" s="80" t="s">
        <v>863</v>
      </c>
      <c r="L2" s="80"/>
      <c r="M2" s="637" t="s">
        <v>266</v>
      </c>
      <c r="N2" s="637"/>
      <c r="O2" s="637"/>
      <c r="P2" s="47"/>
      <c r="Q2" s="10"/>
      <c r="S2" s="650" t="s">
        <v>614</v>
      </c>
      <c r="T2" s="651"/>
    </row>
    <row r="3" spans="1:20">
      <c r="A3" s="120"/>
      <c r="C3" s="91" t="s">
        <v>70</v>
      </c>
      <c r="D3" s="29" t="s">
        <v>36</v>
      </c>
      <c r="E3" s="29"/>
      <c r="F3" s="29" t="s">
        <v>69</v>
      </c>
      <c r="G3" s="45" t="s">
        <v>74</v>
      </c>
      <c r="H3" s="29" t="s">
        <v>71</v>
      </c>
      <c r="I3" s="29" t="s">
        <v>75</v>
      </c>
      <c r="J3" s="29" t="s">
        <v>257</v>
      </c>
      <c r="K3" s="29"/>
      <c r="L3" s="29" t="s">
        <v>271</v>
      </c>
      <c r="M3" s="29" t="s">
        <v>272</v>
      </c>
      <c r="N3" s="29" t="s">
        <v>271</v>
      </c>
      <c r="O3" s="29" t="s">
        <v>273</v>
      </c>
      <c r="P3" s="45" t="s">
        <v>274</v>
      </c>
      <c r="Q3" s="9" t="s">
        <v>283</v>
      </c>
      <c r="S3" s="30" t="s">
        <v>284</v>
      </c>
      <c r="T3" s="30" t="s">
        <v>1</v>
      </c>
    </row>
    <row r="4" spans="1:20">
      <c r="A4" s="120"/>
      <c r="C4" s="271" t="s">
        <v>79</v>
      </c>
      <c r="D4" s="29" t="s">
        <v>77</v>
      </c>
      <c r="E4" s="29" t="s">
        <v>1599</v>
      </c>
      <c r="F4" s="13" t="s">
        <v>249</v>
      </c>
      <c r="G4" s="109" t="s">
        <v>222</v>
      </c>
      <c r="H4" s="13">
        <v>1</v>
      </c>
      <c r="I4" s="13">
        <v>30.1</v>
      </c>
      <c r="J4" s="13">
        <v>30.1</v>
      </c>
      <c r="K4" s="18">
        <v>2</v>
      </c>
      <c r="L4" s="18" t="s">
        <v>911</v>
      </c>
      <c r="M4" s="18" t="s">
        <v>1326</v>
      </c>
      <c r="N4" s="18" t="s">
        <v>1330</v>
      </c>
      <c r="O4" s="18" t="s">
        <v>1327</v>
      </c>
    </row>
    <row r="5" spans="1:20">
      <c r="A5" s="120"/>
      <c r="C5" s="271" t="s">
        <v>79</v>
      </c>
      <c r="D5" s="29" t="s">
        <v>77</v>
      </c>
      <c r="E5" s="29" t="s">
        <v>1599</v>
      </c>
      <c r="F5" s="228" t="s">
        <v>1364</v>
      </c>
      <c r="G5" s="109" t="s">
        <v>1314</v>
      </c>
      <c r="H5" s="13">
        <v>2</v>
      </c>
      <c r="I5" s="13">
        <v>51.27</v>
      </c>
      <c r="J5" s="13">
        <v>51.27</v>
      </c>
      <c r="K5" s="18"/>
      <c r="L5" s="18" t="s">
        <v>911</v>
      </c>
      <c r="M5" s="18" t="s">
        <v>1326</v>
      </c>
      <c r="N5" s="18" t="s">
        <v>1330</v>
      </c>
      <c r="O5" s="18" t="s">
        <v>1327</v>
      </c>
    </row>
    <row r="6" spans="1:20">
      <c r="A6" s="120"/>
      <c r="C6" s="271" t="s">
        <v>79</v>
      </c>
      <c r="D6" s="29" t="s">
        <v>77</v>
      </c>
      <c r="E6" s="29"/>
      <c r="F6" s="228" t="s">
        <v>355</v>
      </c>
      <c r="G6" s="109" t="s">
        <v>27</v>
      </c>
      <c r="H6" s="13">
        <v>3</v>
      </c>
      <c r="I6" s="13">
        <v>1.32</v>
      </c>
      <c r="J6" s="13">
        <v>1.32</v>
      </c>
      <c r="K6" s="18"/>
      <c r="L6" s="18" t="s">
        <v>911</v>
      </c>
      <c r="M6" s="18" t="s">
        <v>1326</v>
      </c>
      <c r="N6" s="18" t="s">
        <v>1330</v>
      </c>
      <c r="O6" s="18" t="s">
        <v>1327</v>
      </c>
    </row>
    <row r="7" spans="1:20">
      <c r="A7" s="120"/>
      <c r="C7" s="271" t="s">
        <v>79</v>
      </c>
      <c r="D7" s="29" t="s">
        <v>77</v>
      </c>
      <c r="E7" s="29" t="s">
        <v>1599</v>
      </c>
      <c r="F7" s="228" t="s">
        <v>1371</v>
      </c>
      <c r="G7" s="109" t="s">
        <v>1315</v>
      </c>
      <c r="H7" s="13">
        <v>4</v>
      </c>
      <c r="I7" s="13">
        <v>7.5</v>
      </c>
      <c r="J7" s="13">
        <v>7.5</v>
      </c>
      <c r="K7" s="18"/>
      <c r="L7" s="18" t="s">
        <v>572</v>
      </c>
      <c r="M7" s="18" t="s">
        <v>1326</v>
      </c>
      <c r="N7" s="18" t="s">
        <v>1329</v>
      </c>
      <c r="O7" s="18" t="s">
        <v>1327</v>
      </c>
    </row>
    <row r="8" spans="1:20">
      <c r="A8" s="120"/>
      <c r="C8" s="271" t="s">
        <v>79</v>
      </c>
      <c r="D8" s="29" t="s">
        <v>77</v>
      </c>
      <c r="E8" s="29"/>
      <c r="F8" s="228" t="s">
        <v>355</v>
      </c>
      <c r="G8" s="109" t="s">
        <v>205</v>
      </c>
      <c r="H8" s="13">
        <v>5</v>
      </c>
      <c r="I8" s="13">
        <v>6</v>
      </c>
      <c r="J8" s="13">
        <v>6</v>
      </c>
      <c r="K8" s="18"/>
      <c r="L8" s="18" t="s">
        <v>911</v>
      </c>
      <c r="M8" s="18" t="s">
        <v>1326</v>
      </c>
      <c r="N8" s="18" t="s">
        <v>1330</v>
      </c>
      <c r="O8" s="18" t="s">
        <v>1327</v>
      </c>
    </row>
    <row r="9" spans="1:20">
      <c r="A9" s="120"/>
      <c r="C9" s="271" t="s">
        <v>79</v>
      </c>
      <c r="D9" s="29" t="s">
        <v>77</v>
      </c>
      <c r="E9" s="29" t="s">
        <v>1599</v>
      </c>
      <c r="F9" s="228" t="s">
        <v>596</v>
      </c>
      <c r="G9" s="109" t="s">
        <v>1316</v>
      </c>
      <c r="H9" s="13">
        <v>6</v>
      </c>
      <c r="I9" s="13">
        <v>13.84</v>
      </c>
      <c r="J9" s="13">
        <v>13.84</v>
      </c>
      <c r="K9" s="18"/>
      <c r="L9" s="18" t="s">
        <v>911</v>
      </c>
      <c r="M9" s="18" t="s">
        <v>1326</v>
      </c>
      <c r="N9" s="18" t="s">
        <v>1330</v>
      </c>
      <c r="O9" s="18" t="s">
        <v>1327</v>
      </c>
    </row>
    <row r="10" spans="1:20">
      <c r="A10" s="120"/>
      <c r="C10" s="271" t="s">
        <v>79</v>
      </c>
      <c r="D10" s="29" t="s">
        <v>77</v>
      </c>
      <c r="E10" s="29" t="s">
        <v>1599</v>
      </c>
      <c r="F10" s="228" t="s">
        <v>596</v>
      </c>
      <c r="G10" s="109" t="s">
        <v>1316</v>
      </c>
      <c r="H10" s="13">
        <v>7</v>
      </c>
      <c r="I10" s="13">
        <v>14.05</v>
      </c>
      <c r="J10" s="13">
        <v>14.05</v>
      </c>
      <c r="K10" s="18"/>
      <c r="L10" s="18" t="s">
        <v>572</v>
      </c>
      <c r="M10" s="18" t="s">
        <v>1326</v>
      </c>
      <c r="N10" s="18" t="s">
        <v>1329</v>
      </c>
      <c r="O10" s="18" t="s">
        <v>1327</v>
      </c>
    </row>
    <row r="11" spans="1:20">
      <c r="A11" s="120" t="s">
        <v>916</v>
      </c>
      <c r="C11" s="271" t="s">
        <v>79</v>
      </c>
      <c r="D11" s="29" t="s">
        <v>77</v>
      </c>
      <c r="E11" s="29"/>
      <c r="F11" s="228" t="s">
        <v>109</v>
      </c>
      <c r="G11" s="109" t="s">
        <v>109</v>
      </c>
      <c r="H11" s="13">
        <v>8</v>
      </c>
      <c r="I11" s="13">
        <v>11.3</v>
      </c>
      <c r="J11" s="13">
        <v>11.3</v>
      </c>
      <c r="K11" s="18"/>
      <c r="L11" s="18" t="s">
        <v>911</v>
      </c>
      <c r="M11" s="18" t="s">
        <v>1326</v>
      </c>
      <c r="N11" s="18" t="s">
        <v>1330</v>
      </c>
      <c r="O11" s="18" t="s">
        <v>1327</v>
      </c>
    </row>
    <row r="12" spans="1:20">
      <c r="A12" s="120"/>
      <c r="C12" s="271" t="s">
        <v>79</v>
      </c>
      <c r="D12" s="29" t="s">
        <v>77</v>
      </c>
      <c r="E12" s="29" t="s">
        <v>1599</v>
      </c>
      <c r="F12" s="228" t="s">
        <v>1364</v>
      </c>
      <c r="G12" s="109" t="s">
        <v>1317</v>
      </c>
      <c r="H12" s="13">
        <v>9</v>
      </c>
      <c r="I12" s="13">
        <v>10</v>
      </c>
      <c r="J12" s="13">
        <v>10</v>
      </c>
      <c r="K12" s="18"/>
      <c r="L12" s="18" t="s">
        <v>911</v>
      </c>
      <c r="M12" s="18" t="s">
        <v>1326</v>
      </c>
      <c r="N12" s="18" t="s">
        <v>1330</v>
      </c>
      <c r="O12" s="18" t="s">
        <v>1327</v>
      </c>
    </row>
    <row r="13" spans="1:20">
      <c r="A13" s="120"/>
      <c r="C13" s="271" t="s">
        <v>79</v>
      </c>
      <c r="D13" s="29" t="s">
        <v>77</v>
      </c>
      <c r="E13" s="29"/>
      <c r="F13" s="13" t="s">
        <v>194</v>
      </c>
      <c r="G13" s="109" t="s">
        <v>221</v>
      </c>
      <c r="H13" s="13">
        <v>10</v>
      </c>
      <c r="I13" s="13">
        <v>7.01</v>
      </c>
      <c r="J13" s="13">
        <v>7.01</v>
      </c>
      <c r="K13" s="18"/>
      <c r="L13" s="18" t="s">
        <v>911</v>
      </c>
      <c r="M13" s="18" t="s">
        <v>1326</v>
      </c>
      <c r="N13" s="18" t="s">
        <v>1330</v>
      </c>
      <c r="O13" s="18" t="s">
        <v>1327</v>
      </c>
    </row>
    <row r="14" spans="1:20">
      <c r="A14" s="120"/>
      <c r="C14" s="271" t="s">
        <v>79</v>
      </c>
      <c r="D14" s="29" t="s">
        <v>77</v>
      </c>
      <c r="E14" s="29"/>
      <c r="F14" s="228" t="s">
        <v>355</v>
      </c>
      <c r="G14" s="109" t="s">
        <v>217</v>
      </c>
      <c r="H14" s="13">
        <v>11</v>
      </c>
      <c r="I14" s="13">
        <v>4.68</v>
      </c>
      <c r="J14" s="13">
        <v>4.68</v>
      </c>
      <c r="K14" s="18"/>
      <c r="L14" s="18" t="s">
        <v>911</v>
      </c>
      <c r="M14" s="18" t="s">
        <v>1326</v>
      </c>
      <c r="N14" s="18" t="s">
        <v>1330</v>
      </c>
      <c r="O14" s="18" t="s">
        <v>1327</v>
      </c>
    </row>
    <row r="15" spans="1:20">
      <c r="A15" s="120"/>
      <c r="C15" s="271" t="s">
        <v>79</v>
      </c>
      <c r="D15" s="29" t="s">
        <v>77</v>
      </c>
      <c r="E15" s="29" t="s">
        <v>1599</v>
      </c>
      <c r="F15" s="13" t="s">
        <v>249</v>
      </c>
      <c r="G15" s="109" t="s">
        <v>1318</v>
      </c>
      <c r="H15" s="13">
        <v>12</v>
      </c>
      <c r="I15" s="13">
        <v>12.6</v>
      </c>
      <c r="J15" s="13">
        <v>12.6</v>
      </c>
      <c r="K15" s="18">
        <v>1</v>
      </c>
      <c r="L15" s="18" t="s">
        <v>911</v>
      </c>
      <c r="M15" s="18" t="s">
        <v>1326</v>
      </c>
      <c r="N15" s="18" t="s">
        <v>1330</v>
      </c>
      <c r="O15" s="18" t="s">
        <v>1327</v>
      </c>
    </row>
    <row r="16" spans="1:20">
      <c r="A16" s="120"/>
      <c r="C16" s="271" t="s">
        <v>79</v>
      </c>
      <c r="D16" s="29" t="s">
        <v>77</v>
      </c>
      <c r="E16" s="29" t="s">
        <v>1599</v>
      </c>
      <c r="F16" s="228" t="s">
        <v>1371</v>
      </c>
      <c r="G16" s="109" t="s">
        <v>1319</v>
      </c>
      <c r="H16" s="13">
        <v>13</v>
      </c>
      <c r="I16" s="13">
        <v>10.58</v>
      </c>
      <c r="J16" s="13">
        <v>9.58</v>
      </c>
      <c r="K16" s="18"/>
      <c r="L16" s="18" t="s">
        <v>911</v>
      </c>
      <c r="M16" s="18" t="s">
        <v>1326</v>
      </c>
      <c r="N16" s="18" t="s">
        <v>1330</v>
      </c>
      <c r="O16" s="18" t="s">
        <v>1327</v>
      </c>
    </row>
    <row r="17" spans="1:15">
      <c r="A17" s="120"/>
      <c r="C17" s="271" t="s">
        <v>79</v>
      </c>
      <c r="D17" s="29" t="s">
        <v>77</v>
      </c>
      <c r="E17" s="29"/>
      <c r="F17" s="13" t="s">
        <v>194</v>
      </c>
      <c r="G17" s="109" t="s">
        <v>221</v>
      </c>
      <c r="H17" s="13">
        <v>14</v>
      </c>
      <c r="I17" s="13">
        <v>10.58</v>
      </c>
      <c r="J17" s="13">
        <v>10.58</v>
      </c>
      <c r="K17" s="18"/>
      <c r="L17" s="18" t="s">
        <v>572</v>
      </c>
      <c r="M17" s="18" t="s">
        <v>1328</v>
      </c>
      <c r="N17" s="18" t="s">
        <v>1329</v>
      </c>
      <c r="O17" s="18" t="s">
        <v>1327</v>
      </c>
    </row>
    <row r="18" spans="1:15">
      <c r="A18" s="120"/>
      <c r="C18" s="271" t="s">
        <v>79</v>
      </c>
      <c r="D18" s="29"/>
      <c r="E18" s="29"/>
      <c r="F18" s="13" t="s">
        <v>194</v>
      </c>
      <c r="G18" s="109" t="s">
        <v>1345</v>
      </c>
      <c r="H18" s="13"/>
      <c r="I18" s="13">
        <v>2.2599999999999998</v>
      </c>
      <c r="J18" s="13">
        <v>2.2599999999999998</v>
      </c>
      <c r="K18" s="18"/>
      <c r="L18" s="18" t="s">
        <v>911</v>
      </c>
      <c r="M18" s="18"/>
      <c r="N18" s="18"/>
      <c r="O18" s="18"/>
    </row>
    <row r="19" spans="1:15">
      <c r="A19" s="120"/>
      <c r="C19" s="271" t="s">
        <v>79</v>
      </c>
      <c r="D19" s="29"/>
      <c r="E19" s="29"/>
      <c r="F19" s="13" t="s">
        <v>194</v>
      </c>
      <c r="G19" s="109" t="s">
        <v>1346</v>
      </c>
      <c r="H19" s="13"/>
      <c r="I19" s="13">
        <v>2.74</v>
      </c>
      <c r="J19" s="13">
        <v>2.74</v>
      </c>
      <c r="K19" s="18"/>
      <c r="L19" s="18" t="s">
        <v>911</v>
      </c>
      <c r="M19" s="18"/>
      <c r="N19" s="18"/>
      <c r="O19" s="18"/>
    </row>
    <row r="20" spans="1:15">
      <c r="A20" s="120"/>
      <c r="C20" s="271" t="s">
        <v>79</v>
      </c>
      <c r="D20" s="29" t="s">
        <v>77</v>
      </c>
      <c r="E20" s="29"/>
      <c r="F20" s="228" t="s">
        <v>192</v>
      </c>
      <c r="G20" s="109" t="s">
        <v>1320</v>
      </c>
      <c r="H20" s="13"/>
      <c r="I20" s="13">
        <v>3.07</v>
      </c>
      <c r="J20" s="13">
        <v>3.07</v>
      </c>
      <c r="K20" s="18"/>
      <c r="L20" s="18" t="s">
        <v>572</v>
      </c>
      <c r="M20" s="18" t="s">
        <v>1328</v>
      </c>
      <c r="N20" s="18" t="s">
        <v>1329</v>
      </c>
      <c r="O20" s="18" t="s">
        <v>1327</v>
      </c>
    </row>
    <row r="21" spans="1:15">
      <c r="A21" s="120"/>
      <c r="C21" s="271" t="s">
        <v>79</v>
      </c>
      <c r="D21" s="29" t="s">
        <v>77</v>
      </c>
      <c r="E21" s="29"/>
      <c r="F21" s="228" t="s">
        <v>192</v>
      </c>
      <c r="G21" s="109" t="s">
        <v>1321</v>
      </c>
      <c r="H21" s="13"/>
      <c r="I21" s="13">
        <v>3.07</v>
      </c>
      <c r="J21" s="13">
        <v>3.07</v>
      </c>
      <c r="K21" s="18"/>
      <c r="L21" s="18" t="s">
        <v>572</v>
      </c>
      <c r="M21" s="18" t="s">
        <v>1328</v>
      </c>
      <c r="N21" s="18" t="s">
        <v>1329</v>
      </c>
      <c r="O21" s="18" t="s">
        <v>1327</v>
      </c>
    </row>
    <row r="22" spans="1:15">
      <c r="A22" s="120"/>
      <c r="C22" s="271" t="s">
        <v>79</v>
      </c>
      <c r="D22" s="29" t="s">
        <v>77</v>
      </c>
      <c r="E22" s="29"/>
      <c r="F22" s="228" t="s">
        <v>192</v>
      </c>
      <c r="G22" s="109" t="s">
        <v>1322</v>
      </c>
      <c r="H22" s="13"/>
      <c r="I22" s="13">
        <v>2.97</v>
      </c>
      <c r="J22" s="13">
        <v>2.97</v>
      </c>
      <c r="K22" s="18"/>
      <c r="L22" s="18" t="s">
        <v>572</v>
      </c>
      <c r="M22" s="18" t="s">
        <v>1328</v>
      </c>
      <c r="N22" s="18" t="s">
        <v>1329</v>
      </c>
      <c r="O22" s="18" t="s">
        <v>1327</v>
      </c>
    </row>
    <row r="23" spans="1:15">
      <c r="A23" s="120"/>
      <c r="C23" s="271" t="s">
        <v>79</v>
      </c>
      <c r="D23" s="29" t="s">
        <v>77</v>
      </c>
      <c r="E23" s="29"/>
      <c r="F23" s="228" t="s">
        <v>192</v>
      </c>
      <c r="G23" s="109" t="s">
        <v>1323</v>
      </c>
      <c r="H23" s="13"/>
      <c r="I23" s="13">
        <v>2.97</v>
      </c>
      <c r="J23" s="13">
        <v>2.97</v>
      </c>
      <c r="K23" s="18"/>
      <c r="L23" s="18" t="s">
        <v>572</v>
      </c>
      <c r="M23" s="18" t="s">
        <v>1328</v>
      </c>
      <c r="N23" s="18" t="s">
        <v>1329</v>
      </c>
      <c r="O23" s="18" t="s">
        <v>1327</v>
      </c>
    </row>
    <row r="24" spans="1:15">
      <c r="A24" s="120">
        <f>SUM(I4:I24)</f>
        <v>211.09</v>
      </c>
      <c r="C24" s="271" t="s">
        <v>79</v>
      </c>
      <c r="D24" s="29" t="s">
        <v>77</v>
      </c>
      <c r="E24" s="29"/>
      <c r="F24" s="228" t="s">
        <v>192</v>
      </c>
      <c r="G24" s="109" t="s">
        <v>1324</v>
      </c>
      <c r="H24" s="13"/>
      <c r="I24" s="13">
        <v>3.18</v>
      </c>
      <c r="J24" s="13">
        <v>3.18</v>
      </c>
      <c r="K24" s="18"/>
      <c r="L24" s="18" t="s">
        <v>572</v>
      </c>
      <c r="M24" s="18" t="s">
        <v>1328</v>
      </c>
      <c r="N24" s="18" t="s">
        <v>1329</v>
      </c>
      <c r="O24" s="18" t="s">
        <v>1327</v>
      </c>
    </row>
    <row r="25" spans="1:15">
      <c r="B25" s="11"/>
      <c r="C25" s="271"/>
      <c r="D25" s="3"/>
      <c r="E25" s="3"/>
      <c r="F25" s="11"/>
      <c r="G25"/>
      <c r="H25"/>
      <c r="I25"/>
      <c r="J25"/>
      <c r="K25"/>
      <c r="L25"/>
      <c r="M25"/>
      <c r="N25"/>
      <c r="O25"/>
    </row>
    <row r="26" spans="1:15">
      <c r="C26" s="271"/>
      <c r="D26" s="11"/>
      <c r="E26" s="11"/>
      <c r="F26"/>
      <c r="G26"/>
      <c r="H26"/>
      <c r="I26"/>
      <c r="J26"/>
      <c r="K26"/>
      <c r="L26"/>
      <c r="M26"/>
      <c r="N26"/>
      <c r="O26"/>
    </row>
    <row r="27" spans="1:15">
      <c r="C27" s="652" t="s">
        <v>820</v>
      </c>
      <c r="D27" s="18" t="s">
        <v>644</v>
      </c>
      <c r="E27" s="18"/>
      <c r="F27" s="18" t="s">
        <v>616</v>
      </c>
      <c r="G27" s="18" t="s">
        <v>1332</v>
      </c>
      <c r="H27" s="18" t="s">
        <v>100</v>
      </c>
      <c r="I27" s="18">
        <v>116.85</v>
      </c>
      <c r="J27" s="18">
        <f>I27</f>
        <v>116.85</v>
      </c>
      <c r="K27" s="18"/>
      <c r="L27" s="18"/>
      <c r="M27" s="18" t="s">
        <v>100</v>
      </c>
      <c r="N27" s="18" t="s">
        <v>100</v>
      </c>
      <c r="O27" s="18" t="s">
        <v>100</v>
      </c>
    </row>
    <row r="28" spans="1:15">
      <c r="C28" s="653"/>
      <c r="D28" s="18" t="s">
        <v>644</v>
      </c>
      <c r="E28" s="18"/>
      <c r="F28" s="18" t="s">
        <v>616</v>
      </c>
      <c r="G28" s="18" t="s">
        <v>1331</v>
      </c>
      <c r="H28" s="18" t="s">
        <v>100</v>
      </c>
      <c r="I28" s="18">
        <v>212.66</v>
      </c>
      <c r="J28" s="18">
        <f>I28</f>
        <v>212.66</v>
      </c>
      <c r="K28" s="18"/>
      <c r="L28" s="18"/>
      <c r="M28" s="18" t="s">
        <v>100</v>
      </c>
      <c r="N28" s="18" t="s">
        <v>100</v>
      </c>
      <c r="O28" s="18" t="s">
        <v>100</v>
      </c>
    </row>
    <row r="29" spans="1:15">
      <c r="C29" s="654"/>
      <c r="D29" s="18" t="s">
        <v>644</v>
      </c>
      <c r="E29" s="18"/>
      <c r="F29" s="12" t="s">
        <v>602</v>
      </c>
      <c r="G29" s="12" t="s">
        <v>602</v>
      </c>
      <c r="H29" s="18" t="s">
        <v>100</v>
      </c>
      <c r="I29" s="18">
        <v>240.1</v>
      </c>
      <c r="J29" s="18">
        <f>I29</f>
        <v>240.1</v>
      </c>
      <c r="K29" s="18"/>
      <c r="L29" s="18"/>
      <c r="M29" s="18" t="s">
        <v>100</v>
      </c>
      <c r="N29" s="18" t="s">
        <v>100</v>
      </c>
      <c r="O29" s="18" t="s">
        <v>100</v>
      </c>
    </row>
    <row r="30" spans="1:15">
      <c r="C30" s="191"/>
      <c r="D30" s="18"/>
      <c r="E30" s="18"/>
      <c r="F30" s="12"/>
      <c r="G30" s="12"/>
      <c r="H30" s="18"/>
      <c r="I30" s="18"/>
      <c r="J30" s="18"/>
      <c r="K30" s="18"/>
      <c r="L30" s="18"/>
      <c r="M30" s="18"/>
      <c r="N30" s="18"/>
      <c r="O30" s="18"/>
    </row>
    <row r="31" spans="1:15">
      <c r="C31" s="652" t="s">
        <v>1347</v>
      </c>
      <c r="D31" s="18" t="s">
        <v>644</v>
      </c>
      <c r="E31" s="18"/>
      <c r="F31" s="12" t="s">
        <v>1350</v>
      </c>
      <c r="G31" s="12" t="s">
        <v>1348</v>
      </c>
      <c r="H31" s="18"/>
      <c r="I31" s="15">
        <f>5.6*2.58</f>
        <v>14.447999999999999</v>
      </c>
      <c r="J31" s="15">
        <f>5.6*2.58</f>
        <v>14.447999999999999</v>
      </c>
      <c r="K31" s="18"/>
      <c r="L31" s="18"/>
      <c r="M31" s="18"/>
      <c r="N31" s="18"/>
      <c r="O31" s="18"/>
    </row>
    <row r="32" spans="1:15">
      <c r="C32" s="653"/>
      <c r="D32" s="18" t="s">
        <v>644</v>
      </c>
      <c r="E32" s="18"/>
      <c r="F32" s="12" t="s">
        <v>1350</v>
      </c>
      <c r="G32" s="12" t="s">
        <v>1349</v>
      </c>
      <c r="I32" s="15">
        <f>(5.6-0.26)*2.58</f>
        <v>13.777200000000001</v>
      </c>
      <c r="J32" s="192">
        <f>(5.6-0.26)*2.58</f>
        <v>13.777200000000001</v>
      </c>
    </row>
    <row r="33" spans="3:12">
      <c r="C33" s="653"/>
      <c r="D33" s="18" t="s">
        <v>644</v>
      </c>
      <c r="E33" s="18"/>
      <c r="F33" s="12" t="s">
        <v>1350</v>
      </c>
      <c r="G33" s="12" t="s">
        <v>1351</v>
      </c>
      <c r="I33" s="15">
        <f>0.75*0.8*7</f>
        <v>4.2000000000000011</v>
      </c>
      <c r="J33" s="15">
        <f>0.75*0.8*7</f>
        <v>4.2000000000000011</v>
      </c>
    </row>
    <row r="34" spans="3:12">
      <c r="C34" s="653"/>
      <c r="D34" s="18" t="s">
        <v>644</v>
      </c>
      <c r="E34" s="18"/>
      <c r="F34" s="12" t="s">
        <v>1350</v>
      </c>
      <c r="G34" s="12" t="s">
        <v>1352</v>
      </c>
      <c r="I34" s="15">
        <f>1.6*1.6*0.98</f>
        <v>2.5088000000000004</v>
      </c>
      <c r="J34" s="15">
        <f>1.6*1.6*0.98</f>
        <v>2.5088000000000004</v>
      </c>
    </row>
    <row r="35" spans="3:12">
      <c r="C35" s="653"/>
      <c r="D35" s="18" t="s">
        <v>644</v>
      </c>
      <c r="E35" s="18"/>
      <c r="F35" s="12" t="s">
        <v>1350</v>
      </c>
      <c r="G35" s="12" t="s">
        <v>1353</v>
      </c>
      <c r="I35" s="15">
        <f>2*1.6*2</f>
        <v>6.4</v>
      </c>
      <c r="J35" s="15">
        <f>2*1.6*2</f>
        <v>6.4</v>
      </c>
    </row>
    <row r="36" spans="3:12">
      <c r="C36" s="654"/>
      <c r="D36" s="18" t="s">
        <v>644</v>
      </c>
      <c r="E36" s="18"/>
      <c r="F36" s="12" t="s">
        <v>1350</v>
      </c>
      <c r="G36" s="12" t="s">
        <v>1354</v>
      </c>
      <c r="I36" s="15">
        <f>1.5*0.8*3</f>
        <v>3.6000000000000005</v>
      </c>
      <c r="J36" s="15">
        <f>1.5*0.8*3</f>
        <v>3.6000000000000005</v>
      </c>
    </row>
    <row r="37" spans="3:12">
      <c r="F37" s="12"/>
      <c r="G37" s="12"/>
      <c r="I37" s="18"/>
      <c r="J37" s="12"/>
    </row>
    <row r="38" spans="3:12">
      <c r="F38" s="12"/>
      <c r="G38" s="12"/>
      <c r="I38" s="18"/>
      <c r="J38" s="12"/>
    </row>
    <row r="39" spans="3:12">
      <c r="F39" s="12"/>
      <c r="G39" s="12"/>
      <c r="I39" s="18"/>
      <c r="J39" s="12"/>
    </row>
    <row r="40" spans="3:12">
      <c r="F40" s="12"/>
      <c r="G40" s="12"/>
      <c r="I40" s="18"/>
      <c r="J40" s="12"/>
    </row>
    <row r="41" spans="3:12">
      <c r="F41" s="12"/>
      <c r="G41" s="12"/>
      <c r="I41" s="18"/>
      <c r="J41" s="12"/>
    </row>
    <row r="42" spans="3:12">
      <c r="F42" s="12"/>
      <c r="G42" s="12"/>
      <c r="I42" s="18"/>
      <c r="J42" s="12"/>
    </row>
    <row r="43" spans="3:12" ht="15.75" thickBot="1"/>
    <row r="44" spans="3:12" ht="32.25" thickBot="1">
      <c r="E44" s="11"/>
      <c r="F44" s="178"/>
      <c r="G44" s="183"/>
      <c r="H44" s="184" t="s">
        <v>1333</v>
      </c>
      <c r="J44" s="61"/>
      <c r="K44" s="61"/>
      <c r="L44" s="61"/>
    </row>
    <row r="45" spans="3:12" ht="16.5" thickBot="1">
      <c r="E45" s="11"/>
      <c r="F45" s="179"/>
      <c r="G45" s="185" t="s">
        <v>834</v>
      </c>
      <c r="H45" s="186">
        <f>SUMIF(F4:F24,"administrativo",J4:J24)</f>
        <v>42.7</v>
      </c>
    </row>
    <row r="46" spans="3:12" ht="16.5" thickBot="1">
      <c r="E46" s="11"/>
      <c r="F46" s="179"/>
      <c r="G46" s="185" t="s">
        <v>552</v>
      </c>
      <c r="H46" s="186">
        <v>0</v>
      </c>
      <c r="I46" s="62"/>
    </row>
    <row r="47" spans="3:12" ht="16.5" thickBot="1">
      <c r="E47" s="11"/>
      <c r="F47" s="179"/>
      <c r="G47" s="185" t="s">
        <v>1334</v>
      </c>
      <c r="H47" s="186">
        <v>0</v>
      </c>
      <c r="I47" s="62"/>
    </row>
    <row r="48" spans="3:12" ht="16.5" thickBot="1">
      <c r="E48" s="11"/>
      <c r="F48" s="179"/>
      <c r="G48" s="185" t="s">
        <v>1335</v>
      </c>
      <c r="H48" s="186">
        <v>0</v>
      </c>
      <c r="I48" s="62"/>
    </row>
    <row r="49" spans="1:20" ht="32.25" thickBot="1">
      <c r="E49" s="11"/>
      <c r="F49" s="180" t="s">
        <v>0</v>
      </c>
      <c r="G49" s="185" t="s">
        <v>1336</v>
      </c>
      <c r="H49" s="186">
        <f>SUMIF(F4:F24,"Circulação",J4:J24)</f>
        <v>22.590000000000003</v>
      </c>
      <c r="I49" s="13"/>
    </row>
    <row r="50" spans="1:20" ht="16.5" thickBot="1">
      <c r="E50" s="11"/>
      <c r="F50" s="181"/>
      <c r="G50" s="185" t="s">
        <v>555</v>
      </c>
      <c r="H50" s="186">
        <f>SUMIF(F4:F24,"Serviço",J4:J24)</f>
        <v>12</v>
      </c>
      <c r="I50" s="62"/>
    </row>
    <row r="51" spans="1:20" ht="16.5" thickBot="1">
      <c r="E51" s="11"/>
      <c r="F51" s="182"/>
      <c r="G51" s="187" t="s">
        <v>563</v>
      </c>
      <c r="H51" s="188">
        <f>SUM(H45:H50)</f>
        <v>77.290000000000006</v>
      </c>
      <c r="I51" s="62"/>
    </row>
    <row r="52" spans="1:20" s="48" customFormat="1" ht="30.75" customHeight="1">
      <c r="A52"/>
      <c r="B52"/>
      <c r="C52" s="12"/>
      <c r="D52" s="12"/>
      <c r="E52" s="11"/>
      <c r="F52" s="179"/>
      <c r="G52" s="657" t="s">
        <v>1338</v>
      </c>
      <c r="H52" s="657">
        <f>I28+I29</f>
        <v>452.76</v>
      </c>
      <c r="I52" s="62"/>
      <c r="P52"/>
      <c r="Q52"/>
      <c r="R52"/>
      <c r="S52" s="3"/>
      <c r="T52" s="3"/>
    </row>
    <row r="53" spans="1:20" s="48" customFormat="1" ht="16.5" thickBot="1">
      <c r="A53"/>
      <c r="B53"/>
      <c r="C53" s="12"/>
      <c r="D53" s="12"/>
      <c r="E53" s="11"/>
      <c r="F53" s="179"/>
      <c r="G53" s="658"/>
      <c r="H53" s="658"/>
      <c r="I53" s="62"/>
      <c r="P53"/>
      <c r="Q53"/>
      <c r="R53"/>
      <c r="S53" s="3"/>
      <c r="T53" s="3"/>
    </row>
    <row r="54" spans="1:20" s="48" customFormat="1" ht="16.5" thickBot="1">
      <c r="A54"/>
      <c r="B54"/>
      <c r="C54" s="12"/>
      <c r="D54" s="12"/>
      <c r="E54" s="11"/>
      <c r="F54" s="179"/>
      <c r="G54" s="185" t="s">
        <v>1339</v>
      </c>
      <c r="H54" s="186">
        <f>I27</f>
        <v>116.85</v>
      </c>
      <c r="I54" s="62"/>
      <c r="P54"/>
      <c r="Q54"/>
      <c r="R54"/>
      <c r="S54" s="3"/>
      <c r="T54" s="3"/>
    </row>
    <row r="55" spans="1:20" s="48" customFormat="1" ht="32.25" thickBot="1">
      <c r="A55"/>
      <c r="B55"/>
      <c r="C55" s="12"/>
      <c r="D55" s="12"/>
      <c r="E55" s="11"/>
      <c r="F55" s="189" t="s">
        <v>1337</v>
      </c>
      <c r="G55" s="185" t="s">
        <v>1340</v>
      </c>
      <c r="H55" s="186">
        <v>0</v>
      </c>
      <c r="I55" s="63"/>
      <c r="P55"/>
      <c r="Q55"/>
      <c r="R55"/>
      <c r="S55" s="3"/>
      <c r="T55" s="3"/>
    </row>
    <row r="56" spans="1:20" s="48" customFormat="1" ht="16.5" thickBot="1">
      <c r="A56"/>
      <c r="B56"/>
      <c r="C56" s="12"/>
      <c r="D56" s="12"/>
      <c r="E56" s="11"/>
      <c r="F56" s="655" t="s">
        <v>563</v>
      </c>
      <c r="G56" s="656"/>
      <c r="H56" s="186">
        <f>SUM(H52:H55)</f>
        <v>569.61</v>
      </c>
      <c r="I56" s="62"/>
      <c r="P56"/>
      <c r="Q56"/>
      <c r="R56"/>
      <c r="S56" s="3"/>
      <c r="T56" s="3"/>
    </row>
    <row r="57" spans="1:20" s="48" customFormat="1" ht="15.75" customHeight="1">
      <c r="A57"/>
      <c r="B57"/>
      <c r="C57" s="12"/>
      <c r="D57" s="12"/>
      <c r="E57" s="11"/>
      <c r="F57" s="180"/>
      <c r="G57" s="657" t="s">
        <v>1342</v>
      </c>
      <c r="H57" s="657"/>
      <c r="I57" s="62"/>
      <c r="P57"/>
      <c r="Q57"/>
      <c r="R57"/>
      <c r="S57" s="3"/>
      <c r="T57" s="3"/>
    </row>
    <row r="58" spans="1:20" s="48" customFormat="1" ht="16.5" thickBot="1">
      <c r="A58"/>
      <c r="B58"/>
      <c r="C58" s="12"/>
      <c r="D58" s="12"/>
      <c r="E58" s="11"/>
      <c r="F58" s="180"/>
      <c r="G58" s="658"/>
      <c r="H58" s="658"/>
      <c r="I58" s="62"/>
      <c r="P58"/>
      <c r="Q58"/>
      <c r="R58"/>
      <c r="S58" s="3"/>
      <c r="T58" s="3"/>
    </row>
    <row r="59" spans="1:20" s="48" customFormat="1" ht="32.25" thickBot="1">
      <c r="A59"/>
      <c r="B59"/>
      <c r="C59" s="12"/>
      <c r="D59" s="12"/>
      <c r="E59" s="11"/>
      <c r="F59" s="190" t="s">
        <v>1341</v>
      </c>
      <c r="G59" s="185" t="s">
        <v>1343</v>
      </c>
      <c r="H59" s="193">
        <f>SUM(J31:J36)</f>
        <v>44.934000000000005</v>
      </c>
      <c r="I59" s="62"/>
      <c r="P59"/>
      <c r="Q59"/>
      <c r="R59"/>
      <c r="S59" s="3"/>
      <c r="T59" s="3"/>
    </row>
    <row r="60" spans="1:20" s="48" customFormat="1" ht="16.5" thickBot="1">
      <c r="A60"/>
      <c r="B60"/>
      <c r="C60" s="12"/>
      <c r="D60" s="12"/>
      <c r="E60" s="11"/>
      <c r="F60" s="655" t="s">
        <v>563</v>
      </c>
      <c r="G60" s="656"/>
      <c r="H60" s="186">
        <f>SUM(H57:H59)</f>
        <v>44.934000000000005</v>
      </c>
      <c r="I60" s="62"/>
      <c r="P60"/>
      <c r="Q60"/>
      <c r="R60"/>
      <c r="S60" s="3"/>
      <c r="T60" s="3"/>
    </row>
    <row r="61" spans="1:20" s="48" customFormat="1" ht="32.25" thickBot="1">
      <c r="A61"/>
      <c r="B61"/>
      <c r="C61" s="12"/>
      <c r="D61" s="12"/>
      <c r="E61" s="11"/>
      <c r="F61" s="189" t="s">
        <v>917</v>
      </c>
      <c r="G61" s="185"/>
      <c r="H61" s="193"/>
      <c r="I61" s="62"/>
      <c r="P61"/>
      <c r="Q61"/>
      <c r="R61"/>
      <c r="S61" s="3"/>
      <c r="T61" s="3"/>
    </row>
    <row r="62" spans="1:20" s="48" customFormat="1" ht="16.5" thickBot="1">
      <c r="A62"/>
      <c r="B62"/>
      <c r="C62" s="12"/>
      <c r="D62" s="12"/>
      <c r="E62" s="11"/>
      <c r="F62" s="189" t="s">
        <v>1344</v>
      </c>
      <c r="G62" s="185"/>
      <c r="H62" s="186">
        <v>0</v>
      </c>
      <c r="I62" s="62"/>
      <c r="P62"/>
      <c r="Q62"/>
      <c r="R62"/>
      <c r="S62" s="3"/>
      <c r="T62" s="3"/>
    </row>
    <row r="63" spans="1:20" s="48" customFormat="1">
      <c r="A63"/>
      <c r="B63"/>
      <c r="C63" s="12"/>
      <c r="D63" s="12"/>
      <c r="E63" s="12"/>
      <c r="F63" s="18"/>
      <c r="G63" s="62"/>
      <c r="I63" s="62"/>
      <c r="P63"/>
      <c r="Q63"/>
      <c r="R63"/>
      <c r="S63" s="3"/>
      <c r="T63" s="3"/>
    </row>
    <row r="64" spans="1:20" s="48" customFormat="1">
      <c r="A64"/>
      <c r="B64"/>
      <c r="C64" s="12"/>
      <c r="D64" s="12"/>
      <c r="E64" s="12"/>
      <c r="F64" s="18"/>
      <c r="G64" s="62"/>
      <c r="I64" s="62"/>
      <c r="P64"/>
      <c r="Q64"/>
      <c r="R64"/>
      <c r="S64" s="3"/>
      <c r="T64" s="3"/>
    </row>
    <row r="65" spans="1:20" s="48" customFormat="1">
      <c r="A65"/>
      <c r="B65"/>
      <c r="C65" s="12"/>
      <c r="D65" s="12"/>
      <c r="E65" s="12"/>
      <c r="F65" s="18"/>
      <c r="G65" s="62"/>
      <c r="I65" s="62"/>
      <c r="P65"/>
      <c r="Q65"/>
      <c r="R65"/>
      <c r="S65" s="3"/>
      <c r="T65" s="3"/>
    </row>
    <row r="66" spans="1:20" s="48" customFormat="1">
      <c r="A66"/>
      <c r="B66"/>
      <c r="C66" s="12"/>
      <c r="D66" s="12"/>
      <c r="E66" s="12"/>
      <c r="F66" s="18"/>
      <c r="G66" s="62"/>
      <c r="I66" s="62"/>
      <c r="P66"/>
      <c r="Q66"/>
      <c r="R66"/>
      <c r="S66" s="3"/>
      <c r="T66" s="3"/>
    </row>
    <row r="67" spans="1:20" s="48" customFormat="1">
      <c r="A67"/>
      <c r="B67"/>
      <c r="C67" s="12"/>
      <c r="D67" s="12"/>
      <c r="E67" s="12"/>
      <c r="F67" s="18"/>
      <c r="G67" s="62"/>
      <c r="I67" s="62"/>
      <c r="P67"/>
      <c r="Q67"/>
      <c r="R67"/>
      <c r="S67" s="3"/>
      <c r="T67" s="3"/>
    </row>
    <row r="68" spans="1:20" s="48" customFormat="1">
      <c r="A68"/>
      <c r="B68"/>
      <c r="C68" s="12"/>
      <c r="D68" s="12"/>
      <c r="E68" s="12"/>
      <c r="F68" s="18"/>
      <c r="G68" s="62"/>
      <c r="I68" s="62"/>
      <c r="P68"/>
      <c r="Q68"/>
      <c r="R68"/>
      <c r="S68" s="3"/>
      <c r="T68" s="3"/>
    </row>
    <row r="69" spans="1:20" s="48" customFormat="1">
      <c r="A69"/>
      <c r="B69"/>
      <c r="C69" s="12"/>
      <c r="D69" s="12"/>
      <c r="E69" s="12"/>
      <c r="F69" s="18"/>
      <c r="G69" s="63"/>
      <c r="I69" s="63"/>
      <c r="P69"/>
      <c r="Q69"/>
      <c r="R69"/>
      <c r="S69" s="3"/>
      <c r="T69" s="3"/>
    </row>
    <row r="70" spans="1:20" s="48" customFormat="1">
      <c r="A70"/>
      <c r="B70"/>
      <c r="C70" s="12"/>
      <c r="D70" s="12"/>
      <c r="E70" s="12"/>
      <c r="F70" s="18"/>
      <c r="G70" s="62"/>
      <c r="I70" s="62"/>
      <c r="P70"/>
      <c r="Q70"/>
      <c r="R70"/>
      <c r="S70" s="3"/>
      <c r="T70" s="3"/>
    </row>
    <row r="71" spans="1:20" s="48" customFormat="1">
      <c r="A71"/>
      <c r="B71"/>
      <c r="C71" s="12"/>
      <c r="D71" s="12"/>
      <c r="E71" s="12"/>
      <c r="F71" s="18"/>
      <c r="G71" s="62"/>
      <c r="I71" s="62"/>
      <c r="P71"/>
      <c r="Q71"/>
      <c r="R71"/>
      <c r="S71" s="3"/>
      <c r="T71" s="3"/>
    </row>
    <row r="72" spans="1:20" s="48" customFormat="1">
      <c r="A72"/>
      <c r="B72"/>
      <c r="C72" s="12"/>
      <c r="D72" s="12"/>
      <c r="E72" s="12"/>
      <c r="F72" s="18"/>
      <c r="G72" s="62"/>
      <c r="I72" s="62"/>
      <c r="P72"/>
      <c r="Q72"/>
      <c r="R72"/>
      <c r="S72" s="3"/>
      <c r="T72" s="3"/>
    </row>
    <row r="73" spans="1:20" s="48" customFormat="1">
      <c r="A73"/>
      <c r="B73"/>
      <c r="C73" s="12"/>
      <c r="D73" s="12"/>
      <c r="E73" s="12"/>
      <c r="F73" s="18"/>
      <c r="G73" s="62"/>
      <c r="I73" s="62"/>
      <c r="P73"/>
      <c r="Q73"/>
      <c r="R73"/>
      <c r="S73" s="3"/>
      <c r="T73" s="3"/>
    </row>
    <row r="74" spans="1:20" s="48" customFormat="1">
      <c r="A74"/>
      <c r="B74"/>
      <c r="C74" s="12"/>
      <c r="D74" s="12"/>
      <c r="E74" s="12"/>
      <c r="F74" s="18"/>
      <c r="G74" s="63"/>
      <c r="I74" s="63"/>
      <c r="P74"/>
      <c r="Q74"/>
      <c r="R74"/>
      <c r="S74" s="3"/>
      <c r="T74" s="3"/>
    </row>
    <row r="75" spans="1:20" s="48" customFormat="1">
      <c r="A75"/>
      <c r="B75"/>
      <c r="C75" s="12"/>
      <c r="D75" s="12"/>
      <c r="E75" s="12"/>
      <c r="F75" s="18"/>
      <c r="G75" s="62"/>
      <c r="I75" s="62"/>
      <c r="P75"/>
      <c r="Q75"/>
      <c r="R75"/>
      <c r="S75" s="3"/>
      <c r="T75" s="3"/>
    </row>
    <row r="76" spans="1:20" s="48" customFormat="1">
      <c r="A76"/>
      <c r="B76"/>
      <c r="C76" s="12"/>
      <c r="D76" s="12"/>
      <c r="E76" s="12"/>
      <c r="F76" s="18"/>
      <c r="G76" s="62"/>
      <c r="I76" s="62"/>
      <c r="P76"/>
      <c r="Q76"/>
      <c r="R76"/>
      <c r="S76" s="3"/>
      <c r="T76" s="3"/>
    </row>
    <row r="77" spans="1:20" s="48" customFormat="1">
      <c r="A77"/>
      <c r="B77"/>
      <c r="C77" s="12"/>
      <c r="D77" s="12"/>
      <c r="E77" s="12"/>
      <c r="F77" s="18"/>
      <c r="G77" s="62"/>
      <c r="I77" s="62"/>
      <c r="P77"/>
      <c r="Q77"/>
      <c r="R77"/>
      <c r="S77" s="3"/>
      <c r="T77" s="3"/>
    </row>
    <row r="78" spans="1:20" s="48" customFormat="1">
      <c r="A78"/>
      <c r="B78"/>
      <c r="C78" s="12"/>
      <c r="D78" s="12"/>
      <c r="E78" s="12"/>
      <c r="F78" s="18"/>
      <c r="G78" s="62"/>
      <c r="I78" s="62"/>
      <c r="P78"/>
      <c r="Q78"/>
      <c r="R78"/>
      <c r="S78" s="3"/>
      <c r="T78" s="3"/>
    </row>
    <row r="79" spans="1:20" s="48" customFormat="1">
      <c r="A79"/>
      <c r="B79"/>
      <c r="C79" s="12"/>
      <c r="D79" s="12"/>
      <c r="E79" s="12"/>
      <c r="F79" s="18"/>
      <c r="G79" s="62"/>
      <c r="I79" s="62"/>
      <c r="P79"/>
      <c r="Q79"/>
      <c r="R79"/>
      <c r="S79" s="3"/>
      <c r="T79" s="3"/>
    </row>
    <row r="80" spans="1:20" s="48" customFormat="1">
      <c r="A80"/>
      <c r="B80"/>
      <c r="C80" s="12"/>
      <c r="D80" s="12"/>
      <c r="E80" s="12"/>
      <c r="F80" s="18"/>
      <c r="G80" s="62"/>
      <c r="I80" s="62"/>
      <c r="P80"/>
      <c r="Q80"/>
      <c r="R80"/>
      <c r="S80" s="3"/>
      <c r="T80" s="3"/>
    </row>
    <row r="81" spans="1:20" s="48" customFormat="1">
      <c r="A81"/>
      <c r="B81"/>
      <c r="C81" s="12"/>
      <c r="D81" s="12"/>
      <c r="E81" s="12"/>
      <c r="F81" s="18"/>
      <c r="G81" s="63"/>
      <c r="I81" s="63"/>
      <c r="P81"/>
      <c r="Q81"/>
      <c r="R81"/>
      <c r="S81" s="3"/>
      <c r="T81" s="3"/>
    </row>
    <row r="82" spans="1:20" s="48" customFormat="1">
      <c r="A82"/>
      <c r="B82"/>
      <c r="C82" s="12"/>
      <c r="D82" s="12"/>
      <c r="E82" s="12"/>
      <c r="F82" s="18"/>
      <c r="G82" s="62"/>
      <c r="I82" s="62"/>
      <c r="P82"/>
      <c r="Q82"/>
      <c r="R82"/>
      <c r="S82" s="3"/>
      <c r="T82" s="3"/>
    </row>
    <row r="83" spans="1:20" s="48" customFormat="1">
      <c r="A83"/>
      <c r="B83"/>
      <c r="C83" s="12"/>
      <c r="D83" s="12"/>
      <c r="E83" s="12"/>
      <c r="F83" s="18"/>
      <c r="G83" s="62"/>
      <c r="I83" s="62"/>
      <c r="P83"/>
      <c r="Q83"/>
      <c r="R83"/>
      <c r="S83" s="3"/>
      <c r="T83" s="3"/>
    </row>
    <row r="84" spans="1:20" s="48" customFormat="1">
      <c r="A84"/>
      <c r="B84"/>
      <c r="C84" s="12"/>
      <c r="D84" s="12"/>
      <c r="E84" s="12"/>
      <c r="F84" s="18"/>
      <c r="G84" s="62"/>
      <c r="I84" s="62"/>
      <c r="P84"/>
      <c r="Q84"/>
      <c r="R84"/>
      <c r="S84" s="3"/>
      <c r="T84" s="3"/>
    </row>
    <row r="85" spans="1:20" s="48" customFormat="1">
      <c r="A85"/>
      <c r="B85"/>
      <c r="C85" s="12"/>
      <c r="D85" s="12"/>
      <c r="E85" s="12"/>
      <c r="F85" s="18"/>
      <c r="G85" s="62"/>
      <c r="I85" s="62"/>
      <c r="P85"/>
      <c r="Q85"/>
      <c r="R85"/>
      <c r="S85" s="3"/>
      <c r="T85" s="3"/>
    </row>
    <row r="86" spans="1:20" s="48" customFormat="1">
      <c r="A86"/>
      <c r="B86"/>
      <c r="C86" s="12"/>
      <c r="D86" s="12"/>
      <c r="E86" s="12"/>
      <c r="F86" s="18"/>
      <c r="G86" s="62"/>
      <c r="I86" s="62"/>
      <c r="P86"/>
      <c r="Q86"/>
      <c r="R86"/>
      <c r="S86" s="3"/>
      <c r="T86" s="3"/>
    </row>
    <row r="87" spans="1:20" s="48" customFormat="1">
      <c r="A87"/>
      <c r="B87"/>
      <c r="C87" s="12"/>
      <c r="D87" s="12"/>
      <c r="E87" s="12"/>
      <c r="F87" s="18"/>
      <c r="G87" s="62"/>
      <c r="I87" s="62"/>
      <c r="P87"/>
      <c r="Q87"/>
      <c r="R87"/>
      <c r="S87" s="3"/>
      <c r="T87" s="3"/>
    </row>
    <row r="88" spans="1:20" s="48" customFormat="1">
      <c r="A88"/>
      <c r="B88"/>
      <c r="C88" s="12"/>
      <c r="D88" s="12"/>
      <c r="E88" s="12"/>
      <c r="F88" s="18"/>
      <c r="G88" s="62"/>
      <c r="I88" s="62"/>
      <c r="P88"/>
      <c r="Q88"/>
      <c r="R88"/>
      <c r="S88" s="3"/>
      <c r="T88" s="3"/>
    </row>
    <row r="89" spans="1:20" s="48" customFormat="1">
      <c r="A89"/>
      <c r="B89"/>
      <c r="C89" s="12"/>
      <c r="D89" s="12"/>
      <c r="E89" s="12"/>
      <c r="F89" s="18"/>
      <c r="H89" s="12"/>
      <c r="P89"/>
      <c r="Q89"/>
      <c r="R89"/>
      <c r="S89" s="3"/>
      <c r="T89" s="3"/>
    </row>
    <row r="90" spans="1:20" s="48" customFormat="1">
      <c r="A90"/>
      <c r="B90"/>
      <c r="C90" s="12"/>
      <c r="D90" s="12"/>
      <c r="E90" s="12"/>
      <c r="F90" s="18"/>
      <c r="H90" s="12"/>
      <c r="P90"/>
      <c r="Q90"/>
      <c r="R90"/>
      <c r="S90" s="3"/>
      <c r="T90" s="3"/>
    </row>
    <row r="91" spans="1:20" s="48" customFormat="1">
      <c r="A91"/>
      <c r="B91"/>
      <c r="C91" s="12"/>
      <c r="D91" s="12"/>
      <c r="E91" s="12"/>
      <c r="F91" s="18"/>
      <c r="H91" s="12"/>
      <c r="P91"/>
      <c r="Q91"/>
      <c r="R91"/>
      <c r="S91" s="3"/>
      <c r="T91" s="3"/>
    </row>
    <row r="92" spans="1:20" s="48" customFormat="1">
      <c r="A92"/>
      <c r="B92"/>
      <c r="C92" s="12"/>
      <c r="D92" s="12"/>
      <c r="E92" s="12"/>
      <c r="F92" s="18"/>
      <c r="H92" s="12"/>
      <c r="P92"/>
      <c r="Q92"/>
      <c r="R92"/>
      <c r="S92" s="3"/>
      <c r="T92" s="3"/>
    </row>
    <row r="93" spans="1:20" s="48" customFormat="1">
      <c r="A93"/>
      <c r="B93"/>
      <c r="C93" s="12"/>
      <c r="D93" s="12"/>
      <c r="E93" s="12"/>
      <c r="F93" s="18"/>
      <c r="H93" s="12"/>
      <c r="P93"/>
      <c r="Q93"/>
      <c r="R93"/>
      <c r="S93" s="3"/>
      <c r="T93" s="3"/>
    </row>
    <row r="94" spans="1:20" s="48" customFormat="1">
      <c r="A94"/>
      <c r="B94"/>
      <c r="C94" s="12"/>
      <c r="D94" s="12"/>
      <c r="E94" s="12"/>
      <c r="F94" s="18"/>
      <c r="H94" s="12"/>
      <c r="P94"/>
      <c r="Q94"/>
      <c r="R94"/>
      <c r="S94" s="3"/>
      <c r="T94" s="3"/>
    </row>
    <row r="95" spans="1:20" s="48" customFormat="1">
      <c r="A95"/>
      <c r="B95"/>
      <c r="C95" s="12"/>
      <c r="D95" s="12"/>
      <c r="E95" s="12"/>
      <c r="F95" s="18"/>
      <c r="H95" s="12"/>
      <c r="P95"/>
      <c r="Q95"/>
      <c r="R95"/>
      <c r="S95" s="3"/>
      <c r="T95" s="3"/>
    </row>
    <row r="96" spans="1:20" s="48" customFormat="1">
      <c r="A96"/>
      <c r="B96"/>
      <c r="C96" s="12"/>
      <c r="D96" s="12"/>
      <c r="E96" s="12"/>
      <c r="F96" s="18"/>
      <c r="H96" s="12"/>
      <c r="P96"/>
      <c r="Q96"/>
      <c r="R96"/>
      <c r="S96" s="3"/>
      <c r="T96" s="3"/>
    </row>
    <row r="97" spans="1:20" s="48" customFormat="1">
      <c r="A97"/>
      <c r="B97"/>
      <c r="C97" s="12"/>
      <c r="D97" s="12"/>
      <c r="E97" s="12"/>
      <c r="F97" s="18"/>
      <c r="H97" s="12"/>
      <c r="P97"/>
      <c r="Q97"/>
      <c r="R97"/>
      <c r="S97" s="3"/>
      <c r="T97" s="3"/>
    </row>
    <row r="98" spans="1:20" s="48" customFormat="1">
      <c r="A98"/>
      <c r="B98"/>
      <c r="C98" s="12"/>
      <c r="D98" s="12"/>
      <c r="E98" s="12"/>
      <c r="F98" s="18"/>
      <c r="H98" s="12"/>
      <c r="P98"/>
      <c r="Q98"/>
      <c r="R98"/>
      <c r="S98" s="3"/>
      <c r="T98" s="3"/>
    </row>
    <row r="99" spans="1:20" s="48" customFormat="1">
      <c r="A99"/>
      <c r="B99"/>
      <c r="C99" s="12"/>
      <c r="D99" s="12"/>
      <c r="E99" s="12"/>
      <c r="F99" s="18"/>
      <c r="H99" s="12"/>
      <c r="P99"/>
      <c r="Q99"/>
      <c r="R99"/>
      <c r="S99" s="3"/>
      <c r="T99" s="3"/>
    </row>
    <row r="100" spans="1:20" s="48" customFormat="1">
      <c r="A100"/>
      <c r="B100"/>
      <c r="C100" s="12"/>
      <c r="D100" s="12"/>
      <c r="E100" s="12"/>
      <c r="F100" s="18"/>
      <c r="H100" s="12"/>
      <c r="P100"/>
      <c r="Q100"/>
      <c r="R100"/>
      <c r="S100" s="3"/>
      <c r="T100" s="3"/>
    </row>
    <row r="101" spans="1:20" s="48" customFormat="1">
      <c r="A101"/>
      <c r="B101"/>
      <c r="C101" s="12"/>
      <c r="D101" s="12"/>
      <c r="E101" s="12"/>
      <c r="F101" s="18"/>
      <c r="P101"/>
      <c r="Q101"/>
      <c r="R101"/>
      <c r="S101" s="3"/>
      <c r="T101" s="3"/>
    </row>
  </sheetData>
  <autoFilter ref="F1:F101" xr:uid="{F1D4348B-E280-4412-B1CE-708F50156F47}"/>
  <mergeCells count="10">
    <mergeCell ref="F60:G60"/>
    <mergeCell ref="M2:O2"/>
    <mergeCell ref="S2:T2"/>
    <mergeCell ref="C27:C29"/>
    <mergeCell ref="C31:C36"/>
    <mergeCell ref="G52:G53"/>
    <mergeCell ref="H52:H53"/>
    <mergeCell ref="F56:G56"/>
    <mergeCell ref="G57:G58"/>
    <mergeCell ref="H57:H58"/>
  </mergeCells>
  <phoneticPr fontId="14" type="noConversion"/>
  <pageMargins left="0.98425196850393704" right="0.51181102362204722" top="0.59055118110236227" bottom="0.59055118110236227" header="0.31496062992125984" footer="0.31496062992125984"/>
  <pageSetup paperSize="9" scale="46" fitToHeight="0" orientation="landscape" r:id="rId1"/>
  <headerFooter>
    <oddHeader>&amp;C&amp;F&amp;R&amp;A</oddHeader>
    <oddFooter>&amp;LÚLTIMA ATUALIZAÇÃO: 30/05/2025&amp;CUFCA/DINFRA - Pág &amp;P/&amp;N&amp;RSUPERVISÃO DO LEVANTAMENTO: Arq. LOUISE BARBOSA</oddFooter>
  </headerFooter>
  <colBreaks count="1" manualBreakCount="1">
    <brk id="15" max="12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29</vt:i4>
      </vt:variant>
      <vt:variant>
        <vt:lpstr>Intervalos Nomeados</vt:lpstr>
      </vt:variant>
      <vt:variant>
        <vt:i4>24</vt:i4>
      </vt:variant>
    </vt:vector>
  </HeadingPairs>
  <TitlesOfParts>
    <vt:vector size="53" baseType="lpstr">
      <vt:lpstr>CAPA</vt:lpstr>
      <vt:lpstr>UFCA - edificações</vt:lpstr>
      <vt:lpstr>UFCA - Terrenos</vt:lpstr>
      <vt:lpstr>CPA-resumo</vt:lpstr>
      <vt:lpstr>UFCA - BA</vt:lpstr>
      <vt:lpstr>UFCA - CR</vt:lpstr>
      <vt:lpstr>UFCA - JN</vt:lpstr>
      <vt:lpstr>UFCA - BS</vt:lpstr>
      <vt:lpstr>UFCA - ICÓ (SPU)</vt:lpstr>
      <vt:lpstr>TOTAL - BA</vt:lpstr>
      <vt:lpstr>TOTAL - CR</vt:lpstr>
      <vt:lpstr>TOTAL - JN</vt:lpstr>
      <vt:lpstr>TOTAL - BS</vt:lpstr>
      <vt:lpstr>TOTAL - ICÓ</vt:lpstr>
      <vt:lpstr>Criterios</vt:lpstr>
      <vt:lpstr>TOTAL - GERAL</vt:lpstr>
      <vt:lpstr>TOTAL-USOS</vt:lpstr>
      <vt:lpstr>JN-SPIUNET</vt:lpstr>
      <vt:lpstr>BA-SPIUNET.1</vt:lpstr>
      <vt:lpstr>BA-SPIUNET</vt:lpstr>
      <vt:lpstr>CR-SPIUNET</vt:lpstr>
      <vt:lpstr>CR-SPIUNET.1</vt:lpstr>
      <vt:lpstr>BS-SPIUNET</vt:lpstr>
      <vt:lpstr>ICÓ-SPIUNET</vt:lpstr>
      <vt:lpstr>Planilha1</vt:lpstr>
      <vt:lpstr>JN-ESQ</vt:lpstr>
      <vt:lpstr>CR-ESQ</vt:lpstr>
      <vt:lpstr>BA-ESQ</vt:lpstr>
      <vt:lpstr>BS-ESQ</vt:lpstr>
      <vt:lpstr>'BA-SPIUNET'!Area_de_impressao</vt:lpstr>
      <vt:lpstr>'BA-SPIUNET.1'!Area_de_impressao</vt:lpstr>
      <vt:lpstr>CAPA!Area_de_impressao</vt:lpstr>
      <vt:lpstr>Criterios!Area_de_impressao</vt:lpstr>
      <vt:lpstr>'CR-SPIUNET'!Area_de_impressao</vt:lpstr>
      <vt:lpstr>'JN-SPIUNET'!Area_de_impressao</vt:lpstr>
      <vt:lpstr>'TOTAL - BA'!Area_de_impressao</vt:lpstr>
      <vt:lpstr>'TOTAL - BS'!Area_de_impressao</vt:lpstr>
      <vt:lpstr>'TOTAL - CR'!Area_de_impressao</vt:lpstr>
      <vt:lpstr>'TOTAL - GERAL'!Area_de_impressao</vt:lpstr>
      <vt:lpstr>'TOTAL - ICÓ'!Area_de_impressao</vt:lpstr>
      <vt:lpstr>'TOTAL - JN'!Area_de_impressao</vt:lpstr>
      <vt:lpstr>'TOTAL-USOS'!Area_de_impressao</vt:lpstr>
      <vt:lpstr>'UFCA - BA'!Area_de_impressao</vt:lpstr>
      <vt:lpstr>'UFCA - BS'!Area_de_impressao</vt:lpstr>
      <vt:lpstr>'UFCA - CR'!Area_de_impressao</vt:lpstr>
      <vt:lpstr>'UFCA - edificações'!Area_de_impressao</vt:lpstr>
      <vt:lpstr>'UFCA - ICÓ (SPU)'!Area_de_impressao</vt:lpstr>
      <vt:lpstr>'UFCA - JN'!Area_de_impressao</vt:lpstr>
      <vt:lpstr>'UFCA - BA'!Titulos_de_impressao</vt:lpstr>
      <vt:lpstr>'UFCA - BS'!Titulos_de_impressao</vt:lpstr>
      <vt:lpstr>'UFCA - CR'!Titulos_de_impressao</vt:lpstr>
      <vt:lpstr>'UFCA - ICÓ (SPU)'!Titulos_de_impressao</vt:lpstr>
      <vt:lpstr>'UFCA - JN'!Titulos_de_impressao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Plínio</dc:creator>
  <cp:lastModifiedBy>Louise Buarque de Gusmao Barbosa</cp:lastModifiedBy>
  <cp:lastPrinted>2025-07-30T11:43:19Z</cp:lastPrinted>
  <dcterms:created xsi:type="dcterms:W3CDTF">2018-04-27T15:46:14Z</dcterms:created>
  <dcterms:modified xsi:type="dcterms:W3CDTF">2025-07-30T11:43:51Z</dcterms:modified>
</cp:coreProperties>
</file>